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fcfile1\docs_2013\sfcpbw\private\Sustainability\Solarize the Community\_Providing Technical Assistance for solar\"/>
    </mc:Choice>
  </mc:AlternateContent>
  <bookViews>
    <workbookView xWindow="0" yWindow="-180" windowWidth="22005" windowHeight="10365"/>
  </bookViews>
  <sheets>
    <sheet name="START HERE" sheetId="5" r:id="rId1"/>
    <sheet name="System sizing" sheetId="2" r:id="rId2"/>
    <sheet name="Comparison of costs per vendor" sheetId="4" r:id="rId3"/>
    <sheet name="Return on investment" sheetId="1" r:id="rId4"/>
  </sheets>
  <calcPr calcId="162913"/>
</workbook>
</file>

<file path=xl/calcChain.xml><?xml version="1.0" encoding="utf-8"?>
<calcChain xmlns="http://schemas.openxmlformats.org/spreadsheetml/2006/main">
  <c r="J17" i="1" l="1"/>
  <c r="F9" i="2" l="1"/>
  <c r="C31" i="2"/>
  <c r="G45" i="1"/>
  <c r="C42" i="1"/>
  <c r="D42" i="1"/>
  <c r="G42" i="1" s="1"/>
  <c r="E42" i="1"/>
  <c r="H42" i="1"/>
  <c r="C43" i="1"/>
  <c r="D43" i="1"/>
  <c r="F43" i="1" s="1"/>
  <c r="E43" i="1"/>
  <c r="H43" i="1"/>
  <c r="C44" i="1"/>
  <c r="D44" i="1"/>
  <c r="F44" i="1" s="1"/>
  <c r="E44" i="1"/>
  <c r="H44" i="1"/>
  <c r="I44" i="1" s="1"/>
  <c r="C45" i="1"/>
  <c r="D45" i="1"/>
  <c r="E45" i="1"/>
  <c r="H45" i="1"/>
  <c r="C46" i="1"/>
  <c r="D46" i="1"/>
  <c r="F46" i="1" s="1"/>
  <c r="E46" i="1"/>
  <c r="H46" i="1"/>
  <c r="D14" i="1"/>
  <c r="H17" i="1" s="1"/>
  <c r="I17" i="1" s="1"/>
  <c r="G19" i="1"/>
  <c r="G18" i="1"/>
  <c r="G17" i="1"/>
  <c r="F19" i="1"/>
  <c r="F18" i="1"/>
  <c r="F17" i="1"/>
  <c r="E18" i="1"/>
  <c r="D21" i="1"/>
  <c r="D20" i="1"/>
  <c r="D19" i="1"/>
  <c r="D18" i="1"/>
  <c r="D17" i="1"/>
  <c r="D7" i="1"/>
  <c r="D28" i="4"/>
  <c r="I46" i="1" l="1"/>
  <c r="I43" i="1"/>
  <c r="G46" i="1"/>
  <c r="G44" i="1"/>
  <c r="G43" i="1"/>
  <c r="F45" i="1"/>
  <c r="I45" i="1" s="1"/>
  <c r="F42" i="1"/>
  <c r="I42" i="1" s="1"/>
  <c r="D27" i="4"/>
  <c r="F27" i="4"/>
  <c r="E27" i="4"/>
  <c r="F23" i="4"/>
  <c r="F7" i="4"/>
  <c r="E7" i="4"/>
  <c r="D7" i="4"/>
  <c r="D23" i="4"/>
  <c r="C22" i="2"/>
  <c r="G22" i="2" s="1"/>
  <c r="G35" i="2"/>
  <c r="D4" i="1" l="1"/>
  <c r="D10" i="4"/>
  <c r="D9" i="4"/>
  <c r="B31" i="2"/>
  <c r="D11" i="4" l="1"/>
  <c r="J35" i="2"/>
  <c r="J22" i="2" l="1"/>
  <c r="C35" i="2"/>
  <c r="D5" i="1"/>
  <c r="D6" i="1" s="1"/>
  <c r="E10" i="4"/>
  <c r="F10" i="4"/>
  <c r="E9" i="4"/>
  <c r="F9" i="4"/>
  <c r="C6" i="4"/>
  <c r="E6" i="2"/>
  <c r="D7" i="2"/>
  <c r="E7" i="2" s="1"/>
  <c r="D13" i="4" l="1"/>
  <c r="F13" i="4"/>
  <c r="E13" i="4"/>
  <c r="F11" i="4"/>
  <c r="E11" i="4"/>
  <c r="C8" i="4"/>
  <c r="F6" i="2"/>
  <c r="C18" i="2"/>
  <c r="D8" i="2"/>
  <c r="D9" i="2"/>
  <c r="D10" i="2"/>
  <c r="D11" i="2"/>
  <c r="D12" i="2"/>
  <c r="D13" i="2"/>
  <c r="D14" i="2"/>
  <c r="D15" i="2"/>
  <c r="D16" i="2"/>
  <c r="D17" i="2"/>
  <c r="C10" i="4" l="1"/>
  <c r="C9" i="4"/>
  <c r="G6" i="2"/>
  <c r="D18" i="2"/>
  <c r="C11" i="4" l="1"/>
  <c r="E28" i="4"/>
  <c r="F28" i="4"/>
  <c r="F7" i="2" l="1"/>
  <c r="F8" i="2"/>
  <c r="F10" i="2"/>
  <c r="F11" i="2"/>
  <c r="F12" i="2"/>
  <c r="F13" i="2"/>
  <c r="F14" i="2"/>
  <c r="F15" i="2"/>
  <c r="F16" i="2"/>
  <c r="F17" i="2"/>
  <c r="F18" i="2" l="1"/>
  <c r="G7" i="2"/>
  <c r="G8" i="2"/>
  <c r="G9" i="2"/>
  <c r="G10" i="2"/>
  <c r="G11" i="2"/>
  <c r="G12" i="2"/>
  <c r="G13" i="2"/>
  <c r="G14" i="2"/>
  <c r="G15" i="2"/>
  <c r="G16" i="2"/>
  <c r="G17" i="2"/>
  <c r="E8" i="2"/>
  <c r="E9" i="2"/>
  <c r="E10" i="2"/>
  <c r="E11" i="2"/>
  <c r="E12" i="2"/>
  <c r="E13" i="2"/>
  <c r="E14" i="2"/>
  <c r="E15" i="2"/>
  <c r="E16" i="2"/>
  <c r="E17" i="2"/>
  <c r="E18" i="2" l="1"/>
  <c r="G18" i="2"/>
  <c r="D9" i="1" s="1"/>
  <c r="E17" i="1" s="1"/>
  <c r="E23" i="4"/>
  <c r="C18" i="1"/>
  <c r="C19" i="1" s="1"/>
  <c r="C20" i="1" s="1"/>
  <c r="C21" i="1" s="1"/>
  <c r="C22" i="1" s="1"/>
  <c r="C23" i="1" s="1"/>
  <c r="C24" i="1" s="1"/>
  <c r="C25" i="1" s="1"/>
  <c r="C26" i="1" s="1"/>
  <c r="C27" i="1" s="1"/>
  <c r="C28" i="1" s="1"/>
  <c r="C29" i="1" s="1"/>
  <c r="C30" i="1" s="1"/>
  <c r="C31" i="1" s="1"/>
  <c r="C32" i="1" s="1"/>
  <c r="C33" i="1" s="1"/>
  <c r="C34" i="1" s="1"/>
  <c r="C35" i="1" s="1"/>
  <c r="C36" i="1" s="1"/>
  <c r="C37" i="1" s="1"/>
  <c r="C38" i="1" s="1"/>
  <c r="C39" i="1" s="1"/>
  <c r="C40" i="1" s="1"/>
  <c r="C41" i="1" s="1"/>
  <c r="H38" i="1"/>
  <c r="E19" i="1" l="1"/>
  <c r="D26" i="1"/>
  <c r="G26" i="1" s="1"/>
  <c r="H36" i="1"/>
  <c r="H26" i="1"/>
  <c r="H21" i="1"/>
  <c r="H27" i="1"/>
  <c r="H31" i="1"/>
  <c r="H33" i="1"/>
  <c r="H41" i="1"/>
  <c r="H28" i="1"/>
  <c r="H39" i="1"/>
  <c r="H19" i="1"/>
  <c r="H20" i="1"/>
  <c r="H18" i="1"/>
  <c r="H35" i="1"/>
  <c r="H34" i="1"/>
  <c r="H37" i="1"/>
  <c r="H25" i="1"/>
  <c r="H29" i="1"/>
  <c r="H24" i="1"/>
  <c r="H22" i="1"/>
  <c r="H23" i="1"/>
  <c r="H32" i="1"/>
  <c r="H30" i="1"/>
  <c r="H40" i="1"/>
  <c r="E14" i="1"/>
  <c r="E20" i="1" l="1"/>
  <c r="E21" i="1" s="1"/>
  <c r="E22" i="1" s="1"/>
  <c r="D31" i="1"/>
  <c r="G31" i="1" s="1"/>
  <c r="D25" i="1"/>
  <c r="G25" i="1" s="1"/>
  <c r="D36" i="1"/>
  <c r="G36" i="1" s="1"/>
  <c r="D41" i="1"/>
  <c r="G41" i="1" s="1"/>
  <c r="D24" i="1"/>
  <c r="G24" i="1" s="1"/>
  <c r="D30" i="1"/>
  <c r="G30" i="1" s="1"/>
  <c r="D37" i="1"/>
  <c r="G37" i="1" s="1"/>
  <c r="D32" i="1"/>
  <c r="G32" i="1" s="1"/>
  <c r="D38" i="1"/>
  <c r="G38" i="1" s="1"/>
  <c r="G21" i="1"/>
  <c r="D27" i="1"/>
  <c r="G27" i="1" s="1"/>
  <c r="D40" i="1"/>
  <c r="G40" i="1" s="1"/>
  <c r="D22" i="1"/>
  <c r="G22" i="1" s="1"/>
  <c r="D29" i="1"/>
  <c r="G29" i="1" s="1"/>
  <c r="D35" i="1"/>
  <c r="G35" i="1" s="1"/>
  <c r="D28" i="1"/>
  <c r="G28" i="1" s="1"/>
  <c r="G20" i="1"/>
  <c r="D34" i="1"/>
  <c r="G34" i="1" s="1"/>
  <c r="D33" i="1"/>
  <c r="G33" i="1" s="1"/>
  <c r="D23" i="1"/>
  <c r="G23" i="1" s="1"/>
  <c r="D39" i="1"/>
  <c r="G39" i="1" s="1"/>
  <c r="I18" i="1" l="1"/>
  <c r="J18" i="1" s="1"/>
  <c r="F21" i="1"/>
  <c r="I21" i="1" s="1"/>
  <c r="F20" i="1"/>
  <c r="I20" i="1" s="1"/>
  <c r="E23" i="1"/>
  <c r="F22" i="1"/>
  <c r="I22" i="1" s="1"/>
  <c r="I19" i="1" l="1"/>
  <c r="J19" i="1" s="1"/>
  <c r="F23" i="1"/>
  <c r="I23" i="1" s="1"/>
  <c r="E24" i="1"/>
  <c r="J20" i="1" l="1"/>
  <c r="J21" i="1" s="1"/>
  <c r="J22" i="1" s="1"/>
  <c r="J23" i="1" s="1"/>
  <c r="F24" i="1"/>
  <c r="I24" i="1" s="1"/>
  <c r="E25" i="1"/>
  <c r="J24" i="1" l="1"/>
  <c r="E26" i="1"/>
  <c r="F25" i="1"/>
  <c r="I25" i="1" s="1"/>
  <c r="J25" i="1" l="1"/>
  <c r="E27" i="1"/>
  <c r="F26" i="1"/>
  <c r="I26" i="1" s="1"/>
  <c r="J26" i="1" l="1"/>
  <c r="E28" i="1"/>
  <c r="F27" i="1"/>
  <c r="I27" i="1" s="1"/>
  <c r="J27" i="1" l="1"/>
  <c r="F28" i="1"/>
  <c r="I28" i="1" s="1"/>
  <c r="E29" i="1"/>
  <c r="J28" i="1" l="1"/>
  <c r="E30" i="1"/>
  <c r="F29" i="1"/>
  <c r="I29" i="1" s="1"/>
  <c r="J29" i="1" l="1"/>
  <c r="F30" i="1"/>
  <c r="I30" i="1" s="1"/>
  <c r="E31" i="1"/>
  <c r="J30" i="1" l="1"/>
  <c r="F31" i="1"/>
  <c r="I31" i="1" s="1"/>
  <c r="E32" i="1"/>
  <c r="J31" i="1" l="1"/>
  <c r="E33" i="1"/>
  <c r="F32" i="1"/>
  <c r="I32" i="1" s="1"/>
  <c r="J32" i="1" l="1"/>
  <c r="E34" i="1"/>
  <c r="F33" i="1"/>
  <c r="I33" i="1" s="1"/>
  <c r="J33" i="1" l="1"/>
  <c r="F34" i="1"/>
  <c r="I34" i="1" s="1"/>
  <c r="E35" i="1"/>
  <c r="J34" i="1" l="1"/>
  <c r="E36" i="1"/>
  <c r="F35" i="1"/>
  <c r="I35" i="1" s="1"/>
  <c r="J35" i="1" l="1"/>
  <c r="E37" i="1"/>
  <c r="F36" i="1"/>
  <c r="I36" i="1" s="1"/>
  <c r="J36" i="1" l="1"/>
  <c r="F37" i="1"/>
  <c r="I37" i="1" s="1"/>
  <c r="E38" i="1"/>
  <c r="J37" i="1" l="1"/>
  <c r="E39" i="1"/>
  <c r="F38" i="1"/>
  <c r="I38" i="1" s="1"/>
  <c r="J38" i="1" l="1"/>
  <c r="E40" i="1"/>
  <c r="F39" i="1"/>
  <c r="I39" i="1" s="1"/>
  <c r="J39" i="1" l="1"/>
  <c r="E41" i="1"/>
  <c r="F40" i="1"/>
  <c r="I40" i="1" s="1"/>
  <c r="J40" i="1" l="1"/>
  <c r="F41" i="1"/>
  <c r="I41" i="1" s="1"/>
  <c r="J41" i="1" l="1"/>
  <c r="J42" i="1" s="1"/>
  <c r="J43" i="1" s="1"/>
  <c r="J44" i="1" s="1"/>
  <c r="J45" i="1" l="1"/>
  <c r="J46" i="1" s="1"/>
</calcChain>
</file>

<file path=xl/comments1.xml><?xml version="1.0" encoding="utf-8"?>
<comments xmlns="http://schemas.openxmlformats.org/spreadsheetml/2006/main">
  <authors>
    <author>Adeline Murthy</author>
  </authors>
  <commentList>
    <comment ref="C22" authorId="0" shapeId="0">
      <text>
        <r>
          <rPr>
            <sz val="9"/>
            <color indexed="81"/>
            <rFont val="Tahoma"/>
            <charset val="1"/>
          </rPr>
          <t>1800=estimated hours of usable sunlight per year (average of 5 hours per day)</t>
        </r>
      </text>
    </comment>
    <comment ref="F22" authorId="0" shapeId="0">
      <text>
        <r>
          <rPr>
            <sz val="9"/>
            <color indexed="81"/>
            <rFont val="Tahoma"/>
            <family val="2"/>
          </rPr>
          <t>Assuming panel wattage of 370 Watts</t>
        </r>
      </text>
    </comment>
    <comment ref="I22" authorId="0" shapeId="0">
      <text>
        <r>
          <rPr>
            <sz val="9"/>
            <color indexed="81"/>
            <rFont val="Tahoma"/>
            <family val="2"/>
          </rPr>
          <t>Assuming panel size of 65" x 39". This is the standard size for residential solar; commercial solar panels are slightly larger.</t>
        </r>
      </text>
    </comment>
    <comment ref="B31" authorId="0" shapeId="0">
      <text>
        <r>
          <rPr>
            <b/>
            <sz val="9"/>
            <color indexed="81"/>
            <rFont val="Tahoma"/>
            <charset val="1"/>
          </rPr>
          <t>Source:</t>
        </r>
        <r>
          <rPr>
            <sz val="9"/>
            <color indexed="81"/>
            <rFont val="Tahoma"/>
            <family val="2"/>
          </rPr>
          <t xml:space="preserve">
https://news.energysage.com/how-much-does-the-average-solar-panel-installation-cost-in-the-u-s/
0.36 = 26% federal + 10% state tax credits</t>
        </r>
      </text>
    </comment>
  </commentList>
</comments>
</file>

<file path=xl/comments2.xml><?xml version="1.0" encoding="utf-8"?>
<comments xmlns="http://schemas.openxmlformats.org/spreadsheetml/2006/main">
  <authors>
    <author>Adeline Murthy</author>
  </authors>
  <commentList>
    <comment ref="C7" authorId="0" shapeId="0">
      <text>
        <r>
          <rPr>
            <b/>
            <sz val="9"/>
            <color indexed="81"/>
            <rFont val="Tahoma"/>
            <family val="2"/>
          </rPr>
          <t xml:space="preserve">Source:
</t>
        </r>
        <r>
          <rPr>
            <sz val="9"/>
            <color indexed="81"/>
            <rFont val="Tahoma"/>
            <family val="2"/>
          </rPr>
          <t xml:space="preserve">https://news.energysage.com/how-much-does-the-average-solar-panel-installation-cost-in-the-u-s/
</t>
        </r>
      </text>
    </comment>
    <comment ref="A25" authorId="0" shapeId="0">
      <text>
        <r>
          <rPr>
            <sz val="9"/>
            <color indexed="81"/>
            <rFont val="Tahoma"/>
            <family val="2"/>
          </rPr>
          <t>https://pvwatts.nrel.gov/pvwatts.php</t>
        </r>
      </text>
    </comment>
    <comment ref="A27" authorId="0" shapeId="0">
      <text>
        <r>
          <rPr>
            <sz val="9"/>
            <color indexed="81"/>
            <rFont val="Tahoma"/>
            <family val="2"/>
          </rPr>
          <t xml:space="preserve">Available only for PNM customers. See </t>
        </r>
        <r>
          <rPr>
            <u/>
            <sz val="9"/>
            <color indexed="81"/>
            <rFont val="Tahoma"/>
            <family val="2"/>
          </rPr>
          <t>https://www.pnm.com/solar-energy-incentives</t>
        </r>
        <r>
          <rPr>
            <sz val="9"/>
            <color indexed="81"/>
            <rFont val="Tahoma"/>
            <family val="2"/>
          </rPr>
          <t xml:space="preserve"> for more information.</t>
        </r>
      </text>
    </comment>
  </commentList>
</comments>
</file>

<file path=xl/comments3.xml><?xml version="1.0" encoding="utf-8"?>
<comments xmlns="http://schemas.openxmlformats.org/spreadsheetml/2006/main">
  <authors>
    <author>Adeline Murthy</author>
  </authors>
  <commentList>
    <comment ref="D8" authorId="0" shapeId="0">
      <text>
        <r>
          <rPr>
            <sz val="9"/>
            <color indexed="81"/>
            <rFont val="Tahoma"/>
            <family val="2"/>
          </rPr>
          <t>https://www.pnm.com/solar-energy-incentives</t>
        </r>
      </text>
    </comment>
    <comment ref="D10" authorId="0" shapeId="0">
      <text>
        <r>
          <rPr>
            <b/>
            <sz val="9"/>
            <color indexed="81"/>
            <rFont val="Tahoma"/>
            <family val="2"/>
          </rPr>
          <t>Source:</t>
        </r>
        <r>
          <rPr>
            <sz val="9"/>
            <color indexed="81"/>
            <rFont val="Tahoma"/>
            <family val="2"/>
          </rPr>
          <t xml:space="preserve"> EIA 10-year NM avg</t>
        </r>
      </text>
    </comment>
    <comment ref="J16" authorId="0" shapeId="0">
      <text>
        <r>
          <rPr>
            <sz val="9"/>
            <color indexed="81"/>
            <rFont val="Tahoma"/>
            <family val="2"/>
          </rPr>
          <t>Including upfront cost, if any.</t>
        </r>
      </text>
    </comment>
  </commentList>
</comments>
</file>

<file path=xl/sharedStrings.xml><?xml version="1.0" encoding="utf-8"?>
<sst xmlns="http://schemas.openxmlformats.org/spreadsheetml/2006/main" count="152" uniqueCount="128">
  <si>
    <t>REC payment</t>
  </si>
  <si>
    <t>Year</t>
  </si>
  <si>
    <t>Year 1 production</t>
  </si>
  <si>
    <t>PV System Installation cost</t>
  </si>
  <si>
    <t>Initial kWh cost</t>
  </si>
  <si>
    <t>Interest Rate</t>
  </si>
  <si>
    <t>Annual Payment</t>
  </si>
  <si>
    <t>kWh Cost</t>
  </si>
  <si>
    <t>kWh</t>
  </si>
  <si>
    <t>Principal to be financed</t>
  </si>
  <si>
    <t>System Efficiency</t>
  </si>
  <si>
    <t>PV Production Value</t>
  </si>
  <si>
    <t>PNM REC Payment</t>
  </si>
  <si>
    <t>Annual Financing Payment</t>
  </si>
  <si>
    <t>/month</t>
  </si>
  <si>
    <t>Utility rate/kwh escalation</t>
  </si>
  <si>
    <t>Cost for System</t>
  </si>
  <si>
    <t>Estimated Federal Tax Credit</t>
  </si>
  <si>
    <t>Net System Cost</t>
  </si>
  <si>
    <t>Cost per watt</t>
  </si>
  <si>
    <t>Module Manufacturer</t>
  </si>
  <si>
    <t>Annual value of REC credit at $ 0.0025/kWh</t>
  </si>
  <si>
    <t>25-yr energy production (kWh)</t>
  </si>
  <si>
    <t>Solar Installer Output Guarantee</t>
  </si>
  <si>
    <t>Read Date</t>
  </si>
  <si>
    <t xml:space="preserve"> Avg. kWh/day</t>
  </si>
  <si>
    <t>Average</t>
  </si>
  <si>
    <t>kWh/period</t>
  </si>
  <si>
    <t>Days in billing cycle</t>
  </si>
  <si>
    <t>Monthly Bill</t>
  </si>
  <si>
    <t>Budget:</t>
  </si>
  <si>
    <t>kW system</t>
  </si>
  <si>
    <t>Budget (net):</t>
  </si>
  <si>
    <t>Economic Analysis of Photovoltaic System</t>
  </si>
  <si>
    <t>Usage and System Size</t>
  </si>
  <si>
    <t>Size of Module (l x w) or footprint</t>
  </si>
  <si>
    <t xml:space="preserve"> </t>
  </si>
  <si>
    <t xml:space="preserve">This spreadsheet can help you determine approximate size need to cover 100% of electric use. Replace green cells with data from your utility bills (a year summary can be downloaded from your utility's website). </t>
  </si>
  <si>
    <t>How to use this spreadsheet</t>
  </si>
  <si>
    <t>Approximate PV size needed in Santa Fe, NM</t>
  </si>
  <si>
    <t>kW</t>
  </si>
  <si>
    <t>"Sun 4 Fun Company"</t>
  </si>
  <si>
    <t xml:space="preserve">It is not a comprehensive tool and does not cover everything that needs to be considered before purchasing a solar PV system. </t>
  </si>
  <si>
    <t>Comparison of System Cost Quotes</t>
  </si>
  <si>
    <t>Module Material (mono- or polycrystalline)</t>
  </si>
  <si>
    <t>Estimate Method 1: Energy Use</t>
  </si>
  <si>
    <t>Estimate Method 2: Budget</t>
  </si>
  <si>
    <t>It can help answer a few common questions, such as "How do I compare 3 different solar company options?" "What size system would I need in order to offset 100% of my electricity use?" "If I have a fixed budget for how much to spend on solar, what size system can I afford?" etc.</t>
  </si>
  <si>
    <t>Green</t>
  </si>
  <si>
    <t>Yellow</t>
  </si>
  <si>
    <t>Purple</t>
  </si>
  <si>
    <t>Orange</t>
  </si>
  <si>
    <t>Gray</t>
  </si>
  <si>
    <t>financial institution</t>
  </si>
  <si>
    <t>solar installation company</t>
  </si>
  <si>
    <t>resident info</t>
  </si>
  <si>
    <t>System Size (kW)</t>
  </si>
  <si>
    <t>Number of Modules (=panels)</t>
  </si>
  <si>
    <t>Number of panels</t>
  </si>
  <si>
    <r>
      <t>ft</t>
    </r>
    <r>
      <rPr>
        <b/>
        <vertAlign val="superscript"/>
        <sz val="10"/>
        <rFont val="Arial"/>
        <family val="2"/>
      </rPr>
      <t>2</t>
    </r>
  </si>
  <si>
    <t>Roof area needed</t>
  </si>
  <si>
    <t>Yearly kWh output per panel</t>
  </si>
  <si>
    <t>This is the amount of energy produced by the solar system.</t>
  </si>
  <si>
    <t>6 kW * 5 hours of sunlight = 30 kWh, which is the average amount of energy needed in one day.</t>
  </si>
  <si>
    <t>Approximate PV size based on budget</t>
  </si>
  <si>
    <t>Estimated State Tax Credit</t>
  </si>
  <si>
    <t>Alternatively, you can size the system based on how much budget you have (taking into account federal and state tax credits).</t>
  </si>
  <si>
    <t>Price per watt, after tax credits</t>
  </si>
  <si>
    <t>Module Output (=Watts per panel)</t>
  </si>
  <si>
    <t>Electricity Need Met</t>
  </si>
  <si>
    <t>Monocrystalline</t>
  </si>
  <si>
    <t>Solaria</t>
  </si>
  <si>
    <t>1.62 m x 1.12 m</t>
  </si>
  <si>
    <t>SolarEdge</t>
  </si>
  <si>
    <t>Inverter Manufacturer</t>
  </si>
  <si>
    <t>Number of Inverters</t>
  </si>
  <si>
    <t>Inverter Warranty</t>
  </si>
  <si>
    <t>Module Output Warranty</t>
  </si>
  <si>
    <t>25 years</t>
  </si>
  <si>
    <t>Inverter Type</t>
  </si>
  <si>
    <t>Inverter with power optimizer</t>
  </si>
  <si>
    <t>Microinverter</t>
  </si>
  <si>
    <t>Panasonic</t>
  </si>
  <si>
    <t>Module Efficiency</t>
  </si>
  <si>
    <t>1.59 m x 1.05 m</t>
  </si>
  <si>
    <t>Enphase</t>
  </si>
  <si>
    <t>Labor Warranty</t>
  </si>
  <si>
    <t>30 years</t>
  </si>
  <si>
    <t>Canadian Solar</t>
  </si>
  <si>
    <t>78.7 in x 39.1 in</t>
  </si>
  <si>
    <t>20 years</t>
  </si>
  <si>
    <t>Year 1 Production Estimate (kWh) (from PV Watts)</t>
  </si>
  <si>
    <t>Year 1 Production Estimate (kWh) (from seller)</t>
  </si>
  <si>
    <t>Yes</t>
  </si>
  <si>
    <t>No</t>
  </si>
  <si>
    <t>Lifetime Monitoring Included</t>
  </si>
  <si>
    <t>"Heart and Sol"</t>
  </si>
  <si>
    <t>"I Love Solar, Inc."</t>
  </si>
  <si>
    <t>Degradation rate (per year)</t>
  </si>
  <si>
    <t>25-yr production with degradation:</t>
  </si>
  <si>
    <t>Avg. cost/kWh</t>
  </si>
  <si>
    <t>Cost based on your electricity usage</t>
  </si>
  <si>
    <t>Quotes from 3 solar installers</t>
  </si>
  <si>
    <t>This is the net system cost</t>
  </si>
  <si>
    <t>After federal tax credit</t>
  </si>
  <si>
    <t>After state tax credit</t>
  </si>
  <si>
    <t>From utility bills</t>
  </si>
  <si>
    <t>Loan term (years)</t>
  </si>
  <si>
    <t>Annual Production (kWh)</t>
  </si>
  <si>
    <r>
      <t xml:space="preserve">Annual Profit or </t>
    </r>
    <r>
      <rPr>
        <b/>
        <sz val="10"/>
        <color rgb="FFFF0000"/>
        <rFont val="Arial"/>
        <family val="2"/>
      </rPr>
      <t>(loss)</t>
    </r>
  </si>
  <si>
    <r>
      <t xml:space="preserve">Cumulative Profit or </t>
    </r>
    <r>
      <rPr>
        <b/>
        <sz val="10"/>
        <color rgb="FFFF0000"/>
        <rFont val="Arial"/>
        <family val="2"/>
      </rPr>
      <t>(loss)</t>
    </r>
  </si>
  <si>
    <t>This spreadsheet shows approximate financial return on investment for the solar system you choose over the course of 30 years (the average lifespan of solar panels). Please input details from the quote you have selected in the yellow, green, and purple boxes.</t>
  </si>
  <si>
    <t>Blue</t>
  </si>
  <si>
    <t>calculations from PV Watts</t>
  </si>
  <si>
    <t>external sources</t>
  </si>
  <si>
    <t>automatically calculated</t>
  </si>
  <si>
    <t>kilowatt</t>
  </si>
  <si>
    <t>kilowatt-hour</t>
  </si>
  <si>
    <t>Measure of energy. In other words, how much power was demanded over an amount of time. (Power * Time = Energy)</t>
  </si>
  <si>
    <t>W</t>
  </si>
  <si>
    <t>watt</t>
  </si>
  <si>
    <t>1000 watts</t>
  </si>
  <si>
    <t>Some basic electricity terms</t>
  </si>
  <si>
    <t>Measure of electrical power. In other words, how much energy per second an electrical item needs in order to function.</t>
  </si>
  <si>
    <t>This spreadsheet is designed to support those who are considering adding PV solar to their residence. It helps organize information gathered from the electric utility and from solar installation companies.</t>
  </si>
  <si>
    <t>Please note that this spreadsheet is tailored specifically to Santa Fe County residents. Financial incentives for solar differ between states (and even cities), as does the amount of solar radiation an area receives. These factors impact both the cost and size of a solar system.</t>
  </si>
  <si>
    <r>
      <t xml:space="preserve">Cells in green require the prospective buyer to insert information from their electric utility; yellow cells require information from the potential solar installation company; blue cells require 3rd party information calculated by </t>
    </r>
    <r>
      <rPr>
        <u/>
        <sz val="10"/>
        <rFont val="Arial"/>
        <family val="2"/>
      </rPr>
      <t>pvwatts.nrel.gov</t>
    </r>
    <r>
      <rPr>
        <sz val="10"/>
        <rFont val="Arial"/>
        <family val="2"/>
      </rPr>
      <t xml:space="preserve">; orange cells require information from external sources (sources are referenced in cell comment—hover over the cell if you see a little red triangle in the upper right hand corner); gray cells are automatically calculated; and purple cells require information from financial institutions if necessary. </t>
    </r>
  </si>
  <si>
    <t>This spreadsheet can help you compare different solar installation offers. Factors such as warranties, system cost, annual production, and panel footprint should help guide your decision making.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</si>
</sst>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0.000"/>
    <numFmt numFmtId="166" formatCode="&quot;$&quot;#,##0.000"/>
    <numFmt numFmtId="167" formatCode="&quot;$&quot;#,##0.0000"/>
    <numFmt numFmtId="168" formatCode="_(&quot;$&quot;* #,##0_);_(&quot;$&quot;* \(#,##0\);_(&quot;$&quot;* &quot;-&quot;??_);_(@_)"/>
    <numFmt numFmtId="169" formatCode="_(* #,##0_);_(* \(#,##0\);_(* &quot;-&quot;??_);_(@_)"/>
    <numFmt numFmtId="170" formatCode="0.0"/>
    <numFmt numFmtId="171" formatCode="_(&quot;$&quot;* #,##0.000_);_(&quot;$&quot;* \(#,##0.000\);_(&quot;$&quot;* &quot;-&quot;??_);_(@_)"/>
    <numFmt numFmtId="172" formatCode="_(&quot;$&quot;* #,##0.0000_);_(&quot;$&quot;* \(#,##0.0000\);_(&quot;$&quot;* &quot;-&quot;??_);_(@_)"/>
    <numFmt numFmtId="173" formatCode="#,##0.000"/>
    <numFmt numFmtId="174" formatCode="0.0%"/>
  </numFmts>
  <fonts count="26"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0"/>
      <name val="Arial"/>
      <family val="2"/>
    </font>
    <font>
      <sz val="10"/>
      <name val="Arial"/>
      <family val="2"/>
    </font>
    <font>
      <sz val="14"/>
      <name val="Arial"/>
      <family val="2"/>
    </font>
    <font>
      <u/>
      <sz val="10"/>
      <color theme="10"/>
      <name val="Arial"/>
      <family val="2"/>
    </font>
    <font>
      <sz val="10"/>
      <color rgb="FF00B050"/>
      <name val="Arial"/>
      <family val="2"/>
    </font>
    <font>
      <b/>
      <u/>
      <sz val="10"/>
      <name val="Arial"/>
      <family val="2"/>
    </font>
    <font>
      <sz val="10"/>
      <color theme="1"/>
      <name val="Arial"/>
      <family val="2"/>
    </font>
    <font>
      <sz val="14"/>
      <color theme="1"/>
      <name val="Arial"/>
      <family val="2"/>
    </font>
    <font>
      <sz val="12"/>
      <color theme="1"/>
      <name val="Arial"/>
      <family val="2"/>
    </font>
    <font>
      <sz val="12"/>
      <name val="Arial"/>
      <family val="2"/>
    </font>
    <font>
      <sz val="9"/>
      <color indexed="81"/>
      <name val="Tahoma"/>
      <charset val="1"/>
    </font>
    <font>
      <sz val="9"/>
      <color indexed="81"/>
      <name val="Tahoma"/>
      <family val="2"/>
    </font>
    <font>
      <b/>
      <vertAlign val="superscript"/>
      <sz val="10"/>
      <name val="Arial"/>
      <family val="2"/>
    </font>
    <font>
      <b/>
      <sz val="9"/>
      <color indexed="81"/>
      <name val="Tahoma"/>
      <charset val="1"/>
    </font>
    <font>
      <sz val="10"/>
      <color rgb="FFFF0000"/>
      <name val="Arial"/>
      <family val="2"/>
    </font>
    <font>
      <b/>
      <sz val="9"/>
      <color indexed="81"/>
      <name val="Tahoma"/>
      <family val="2"/>
    </font>
    <font>
      <b/>
      <sz val="10"/>
      <color theme="1"/>
      <name val="Arial"/>
      <family val="2"/>
    </font>
    <font>
      <u/>
      <sz val="9"/>
      <color indexed="81"/>
      <name val="Tahoma"/>
      <family val="2"/>
    </font>
    <font>
      <b/>
      <sz val="10"/>
      <color rgb="FFFF0000"/>
      <name val="Arial"/>
      <family val="2"/>
    </font>
    <font>
      <u/>
      <sz val="10"/>
      <name val="Arial"/>
      <family val="2"/>
    </font>
  </fonts>
  <fills count="12">
    <fill>
      <patternFill patternType="none"/>
    </fill>
    <fill>
      <patternFill patternType="gray125"/>
    </fill>
    <fill>
      <patternFill patternType="solid">
        <fgColor rgb="FFFFFF99"/>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C4D79B"/>
        <bgColor indexed="64"/>
      </patternFill>
    </fill>
    <fill>
      <patternFill patternType="solid">
        <fgColor rgb="FFB1A0C7"/>
        <bgColor indexed="64"/>
      </patternFill>
    </fill>
    <fill>
      <patternFill patternType="solid">
        <fgColor rgb="FFFCD5B4"/>
        <bgColor indexed="64"/>
      </patternFill>
    </fill>
    <fill>
      <patternFill patternType="solid">
        <fgColor rgb="FFD9D9D9"/>
        <bgColor indexed="64"/>
      </patternFill>
    </fill>
    <fill>
      <patternFill patternType="solid">
        <fgColor theme="8" tint="0.79998168889431442"/>
        <bgColor indexed="64"/>
      </patternFill>
    </fill>
  </fills>
  <borders count="1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43" fontId="3" fillId="0" borderId="0" applyFont="0" applyFill="0" applyBorder="0" applyAlignment="0" applyProtection="0"/>
    <xf numFmtId="44" fontId="3" fillId="0" borderId="0" applyFont="0" applyFill="0" applyBorder="0" applyAlignment="0" applyProtection="0"/>
    <xf numFmtId="0" fontId="9" fillId="0" borderId="0" applyNumberFormat="0" applyFill="0" applyBorder="0" applyAlignment="0" applyProtection="0">
      <alignment vertical="top"/>
      <protection locked="0"/>
    </xf>
    <xf numFmtId="9" fontId="3" fillId="0" borderId="0" applyFont="0" applyFill="0" applyBorder="0" applyAlignment="0" applyProtection="0"/>
  </cellStyleXfs>
  <cellXfs count="177">
    <xf numFmtId="0" fontId="0" fillId="0" borderId="0" xfId="0"/>
    <xf numFmtId="0" fontId="5" fillId="0" borderId="0" xfId="0" applyFont="1" applyAlignment="1">
      <alignment wrapText="1"/>
    </xf>
    <xf numFmtId="0" fontId="5" fillId="0" borderId="0" xfId="0" applyFont="1" applyAlignment="1">
      <alignment horizontal="center" vertical="center" wrapText="1"/>
    </xf>
    <xf numFmtId="0" fontId="6" fillId="0" borderId="0" xfId="0" applyFont="1" applyAlignment="1">
      <alignment wrapText="1"/>
    </xf>
    <xf numFmtId="0" fontId="0" fillId="0" borderId="0" xfId="0" applyAlignment="1">
      <alignment wrapText="1"/>
    </xf>
    <xf numFmtId="172" fontId="0" fillId="0" borderId="0" xfId="2" applyNumberFormat="1" applyFont="1" applyAlignment="1">
      <alignment wrapText="1"/>
    </xf>
    <xf numFmtId="164" fontId="0" fillId="2" borderId="0" xfId="0" applyNumberFormat="1" applyFill="1" applyAlignment="1">
      <alignment wrapText="1"/>
    </xf>
    <xf numFmtId="44" fontId="0" fillId="0" borderId="0" xfId="0" applyNumberFormat="1" applyAlignment="1">
      <alignment wrapText="1"/>
    </xf>
    <xf numFmtId="0" fontId="7" fillId="0" borderId="0" xfId="0" applyFont="1" applyAlignment="1">
      <alignment wrapText="1"/>
    </xf>
    <xf numFmtId="0" fontId="9" fillId="0" borderId="0" xfId="3" applyAlignment="1" applyProtection="1">
      <alignment wrapText="1"/>
    </xf>
    <xf numFmtId="8" fontId="0" fillId="0" borderId="0" xfId="0" applyNumberFormat="1" applyAlignment="1">
      <alignment wrapText="1"/>
    </xf>
    <xf numFmtId="6" fontId="0" fillId="0" borderId="0" xfId="0" applyNumberFormat="1" applyAlignment="1">
      <alignment wrapText="1"/>
    </xf>
    <xf numFmtId="165" fontId="0" fillId="0" borderId="0" xfId="0" applyNumberFormat="1" applyAlignment="1">
      <alignment wrapText="1"/>
    </xf>
    <xf numFmtId="3" fontId="0" fillId="0" borderId="0" xfId="0" applyNumberFormat="1" applyAlignment="1">
      <alignment wrapText="1"/>
    </xf>
    <xf numFmtId="166" fontId="0" fillId="0" borderId="0" xfId="0" applyNumberFormat="1" applyAlignment="1">
      <alignment wrapText="1"/>
    </xf>
    <xf numFmtId="164" fontId="0" fillId="0" borderId="0" xfId="0" applyNumberFormat="1" applyAlignment="1">
      <alignment wrapText="1"/>
    </xf>
    <xf numFmtId="170" fontId="5" fillId="0" borderId="0" xfId="0" applyNumberFormat="1" applyFont="1" applyAlignment="1">
      <alignment horizontal="center" vertical="center" wrapText="1"/>
    </xf>
    <xf numFmtId="171" fontId="5" fillId="0" borderId="0" xfId="2" applyNumberFormat="1" applyFont="1" applyAlignment="1">
      <alignment horizontal="center" vertical="center" wrapText="1"/>
    </xf>
    <xf numFmtId="170" fontId="0" fillId="0" borderId="0" xfId="0" applyNumberFormat="1" applyAlignment="1">
      <alignment wrapText="1"/>
    </xf>
    <xf numFmtId="2" fontId="0" fillId="0" borderId="0" xfId="0" applyNumberFormat="1" applyAlignment="1">
      <alignment wrapText="1"/>
    </xf>
    <xf numFmtId="168" fontId="10" fillId="0" borderId="0" xfId="2" applyNumberFormat="1" applyFont="1" applyAlignment="1">
      <alignment wrapText="1"/>
    </xf>
    <xf numFmtId="0" fontId="0" fillId="0" borderId="0" xfId="0" applyFill="1" applyAlignment="1">
      <alignment wrapText="1"/>
    </xf>
    <xf numFmtId="0" fontId="8" fillId="0" borderId="0" xfId="0" applyFont="1" applyAlignment="1">
      <alignment horizontal="center" wrapText="1"/>
    </xf>
    <xf numFmtId="0" fontId="3" fillId="0" borderId="0" xfId="0" applyFont="1"/>
    <xf numFmtId="0" fontId="3" fillId="0" borderId="0" xfId="0" applyFont="1" applyAlignment="1">
      <alignment horizontal="center" vertical="top" wrapText="1"/>
    </xf>
    <xf numFmtId="0" fontId="2" fillId="0" borderId="0" xfId="0" applyFont="1" applyAlignment="1">
      <alignment horizontal="center" wrapText="1"/>
    </xf>
    <xf numFmtId="0" fontId="12" fillId="0" borderId="0" xfId="0" applyFont="1" applyAlignment="1">
      <alignment horizontal="center" wrapText="1"/>
    </xf>
    <xf numFmtId="44" fontId="12" fillId="0" borderId="0" xfId="0" applyNumberFormat="1" applyFont="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wrapText="1"/>
    </xf>
    <xf numFmtId="0" fontId="13" fillId="0" borderId="0" xfId="0" applyFont="1" applyAlignment="1">
      <alignment horizontal="center" wrapText="1"/>
    </xf>
    <xf numFmtId="0" fontId="12" fillId="0" borderId="0" xfId="0" applyFont="1" applyAlignment="1">
      <alignment wrapText="1"/>
    </xf>
    <xf numFmtId="168" fontId="12" fillId="0" borderId="0" xfId="2" applyNumberFormat="1" applyFont="1" applyAlignment="1">
      <alignment wrapText="1"/>
    </xf>
    <xf numFmtId="44" fontId="12" fillId="0" borderId="0" xfId="2" applyFont="1" applyAlignment="1">
      <alignment horizontal="center" wrapText="1"/>
    </xf>
    <xf numFmtId="0" fontId="2" fillId="0" borderId="0" xfId="0" applyFont="1" applyAlignment="1">
      <alignment wrapText="1"/>
    </xf>
    <xf numFmtId="14" fontId="12" fillId="5" borderId="0" xfId="0" applyNumberFormat="1" applyFont="1" applyFill="1" applyAlignment="1">
      <alignment wrapText="1"/>
    </xf>
    <xf numFmtId="0" fontId="12" fillId="5" borderId="0" xfId="0" applyFont="1" applyFill="1" applyAlignment="1">
      <alignment horizontal="center" vertical="center" wrapText="1"/>
    </xf>
    <xf numFmtId="44" fontId="12" fillId="5" borderId="0" xfId="2" applyFont="1" applyFill="1" applyAlignment="1">
      <alignment wrapText="1"/>
    </xf>
    <xf numFmtId="0" fontId="0" fillId="0" borderId="0" xfId="0" applyBorder="1" applyAlignment="1">
      <alignment wrapText="1"/>
    </xf>
    <xf numFmtId="0" fontId="11" fillId="0" borderId="0" xfId="0" applyFont="1" applyBorder="1" applyAlignment="1">
      <alignment wrapText="1"/>
    </xf>
    <xf numFmtId="0" fontId="6" fillId="0" borderId="0" xfId="0" applyFont="1" applyBorder="1" applyAlignment="1">
      <alignment wrapText="1"/>
    </xf>
    <xf numFmtId="44" fontId="0" fillId="0" borderId="0" xfId="2" applyFont="1" applyBorder="1" applyAlignment="1">
      <alignment wrapText="1"/>
    </xf>
    <xf numFmtId="173" fontId="12" fillId="2" borderId="0" xfId="0" applyNumberFormat="1" applyFont="1" applyFill="1" applyAlignment="1">
      <alignment wrapText="1"/>
    </xf>
    <xf numFmtId="166" fontId="0" fillId="5" borderId="0" xfId="0" applyNumberFormat="1" applyFill="1" applyAlignment="1">
      <alignment wrapText="1"/>
    </xf>
    <xf numFmtId="10" fontId="0" fillId="3" borderId="0" xfId="0" applyNumberFormat="1" applyFill="1" applyAlignment="1">
      <alignment wrapText="1"/>
    </xf>
    <xf numFmtId="164" fontId="0" fillId="3" borderId="0" xfId="0" applyNumberFormat="1" applyFill="1" applyAlignment="1">
      <alignment wrapText="1"/>
    </xf>
    <xf numFmtId="1" fontId="0" fillId="3" borderId="0" xfId="0" applyNumberFormat="1" applyFill="1" applyAlignment="1">
      <alignment wrapText="1"/>
    </xf>
    <xf numFmtId="0" fontId="3" fillId="0" borderId="0" xfId="0" applyFont="1" applyAlignment="1">
      <alignment wrapText="1"/>
    </xf>
    <xf numFmtId="0" fontId="14" fillId="0" borderId="0" xfId="0" applyFont="1" applyFill="1" applyAlignment="1">
      <alignment horizontal="left" wrapText="1"/>
    </xf>
    <xf numFmtId="0" fontId="14" fillId="0" borderId="0" xfId="0" applyFont="1" applyFill="1" applyAlignment="1">
      <alignment horizontal="left" wrapText="1"/>
    </xf>
    <xf numFmtId="0" fontId="0" fillId="0" borderId="0" xfId="0" applyAlignment="1">
      <alignment horizontal="center" wrapText="1"/>
    </xf>
    <xf numFmtId="171" fontId="12" fillId="6" borderId="0" xfId="0" applyNumberFormat="1" applyFont="1" applyFill="1" applyAlignment="1">
      <alignment wrapText="1"/>
    </xf>
    <xf numFmtId="170" fontId="0" fillId="6" borderId="0" xfId="0" applyNumberFormat="1" applyFill="1" applyAlignment="1">
      <alignment horizontal="center" vertical="center" wrapText="1"/>
    </xf>
    <xf numFmtId="0" fontId="5" fillId="6" borderId="0" xfId="0" applyFont="1" applyFill="1" applyAlignment="1">
      <alignment wrapText="1"/>
    </xf>
    <xf numFmtId="170" fontId="5" fillId="6" borderId="0" xfId="0" applyNumberFormat="1" applyFont="1" applyFill="1" applyAlignment="1">
      <alignment horizontal="center" vertical="center" wrapText="1"/>
    </xf>
    <xf numFmtId="171" fontId="5" fillId="6" borderId="0" xfId="2" applyNumberFormat="1" applyFont="1" applyFill="1" applyAlignment="1">
      <alignment horizontal="center" vertical="center" wrapText="1"/>
    </xf>
    <xf numFmtId="170" fontId="5" fillId="6" borderId="2" xfId="0" applyNumberFormat="1" applyFont="1" applyFill="1" applyBorder="1" applyAlignment="1">
      <alignment horizontal="center" vertical="center" wrapText="1"/>
    </xf>
    <xf numFmtId="2" fontId="0" fillId="6" borderId="0" xfId="0" applyNumberFormat="1" applyFill="1" applyAlignment="1">
      <alignment wrapText="1"/>
    </xf>
    <xf numFmtId="2" fontId="12" fillId="6" borderId="0" xfId="0" applyNumberFormat="1" applyFont="1" applyFill="1" applyAlignment="1">
      <alignment horizontal="center" vertical="center" wrapText="1"/>
    </xf>
    <xf numFmtId="9" fontId="12" fillId="0" borderId="0" xfId="4" applyFont="1" applyAlignment="1">
      <alignment wrapText="1"/>
    </xf>
    <xf numFmtId="0" fontId="3" fillId="0" borderId="0" xfId="0" applyFont="1" applyAlignment="1">
      <alignment vertical="top" wrapText="1"/>
    </xf>
    <xf numFmtId="0" fontId="12" fillId="6" borderId="0" xfId="0" applyFont="1" applyFill="1" applyAlignment="1">
      <alignment horizontal="center" vertical="center" wrapText="1"/>
    </xf>
    <xf numFmtId="0" fontId="12" fillId="2" borderId="3" xfId="0" applyFont="1" applyFill="1" applyBorder="1" applyAlignment="1">
      <alignment horizontal="center" wrapText="1"/>
    </xf>
    <xf numFmtId="0" fontId="12" fillId="0" borderId="6" xfId="0" applyFont="1" applyBorder="1" applyAlignment="1">
      <alignment horizontal="center" wrapText="1"/>
    </xf>
    <xf numFmtId="0" fontId="12" fillId="0" borderId="0" xfId="0" applyFont="1" applyBorder="1" applyAlignment="1">
      <alignment horizontal="center" wrapText="1"/>
    </xf>
    <xf numFmtId="0" fontId="12" fillId="0" borderId="7" xfId="0" applyFont="1" applyBorder="1" applyAlignment="1">
      <alignment horizontal="center" wrapText="1"/>
    </xf>
    <xf numFmtId="44" fontId="12" fillId="2" borderId="6" xfId="0" applyNumberFormat="1" applyFont="1" applyFill="1" applyBorder="1" applyAlignment="1">
      <alignment horizontal="center" vertical="center" wrapText="1"/>
    </xf>
    <xf numFmtId="168" fontId="12" fillId="0" borderId="6" xfId="2" applyNumberFormat="1" applyFont="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169" fontId="12" fillId="0" borderId="6" xfId="1" applyNumberFormat="1" applyFont="1" applyBorder="1" applyAlignment="1">
      <alignment horizontal="center" vertical="center" wrapText="1"/>
    </xf>
    <xf numFmtId="169" fontId="12" fillId="0" borderId="7" xfId="1" applyNumberFormat="1" applyFont="1" applyBorder="1" applyAlignment="1">
      <alignment horizontal="center" vertical="center" wrapText="1"/>
    </xf>
    <xf numFmtId="10" fontId="12" fillId="0" borderId="6" xfId="4" applyNumberFormat="1" applyFont="1" applyBorder="1" applyAlignment="1">
      <alignment horizontal="center" vertical="center" wrapText="1"/>
    </xf>
    <xf numFmtId="10" fontId="12" fillId="0" borderId="7" xfId="4" applyNumberFormat="1" applyFont="1" applyBorder="1" applyAlignment="1">
      <alignment horizontal="center" vertical="center" wrapText="1"/>
    </xf>
    <xf numFmtId="9" fontId="12" fillId="2" borderId="7"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0" borderId="11" xfId="0" applyFont="1" applyBorder="1" applyAlignment="1">
      <alignment horizontal="center" wrapText="1"/>
    </xf>
    <xf numFmtId="44" fontId="12" fillId="2" borderId="11" xfId="0" applyNumberFormat="1" applyFont="1" applyFill="1" applyBorder="1" applyAlignment="1">
      <alignment horizontal="center" vertical="center" wrapText="1"/>
    </xf>
    <xf numFmtId="168" fontId="12" fillId="0" borderId="11" xfId="2" applyNumberFormat="1" applyFont="1" applyBorder="1" applyAlignment="1">
      <alignment horizontal="center" vertical="center" wrapText="1"/>
    </xf>
    <xf numFmtId="0" fontId="12" fillId="2" borderId="11" xfId="0" applyFont="1" applyFill="1" applyBorder="1" applyAlignment="1">
      <alignment horizontal="center" vertical="center" wrapText="1"/>
    </xf>
    <xf numFmtId="169" fontId="12" fillId="0" borderId="11" xfId="1" applyNumberFormat="1" applyFont="1" applyBorder="1" applyAlignment="1">
      <alignment horizontal="center" vertical="center" wrapText="1"/>
    </xf>
    <xf numFmtId="10" fontId="12" fillId="0" borderId="11" xfId="4" applyNumberFormat="1" applyFont="1" applyBorder="1" applyAlignment="1">
      <alignment horizontal="center" vertical="center" wrapText="1"/>
    </xf>
    <xf numFmtId="9" fontId="12" fillId="2" borderId="11" xfId="0" applyNumberFormat="1"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4" fillId="0" borderId="0" xfId="0" applyFont="1" applyFill="1" applyBorder="1" applyAlignment="1">
      <alignment horizontal="left" wrapText="1"/>
    </xf>
    <xf numFmtId="0" fontId="13" fillId="0" borderId="0" xfId="0" applyFont="1" applyFill="1" applyBorder="1" applyAlignment="1">
      <alignment horizontal="center" wrapText="1"/>
    </xf>
    <xf numFmtId="0" fontId="12" fillId="0" borderId="9" xfId="0" applyFont="1" applyBorder="1" applyAlignment="1">
      <alignment wrapText="1"/>
    </xf>
    <xf numFmtId="0" fontId="12" fillId="0" borderId="9" xfId="0" applyFont="1" applyBorder="1" applyAlignment="1">
      <alignment horizontal="center" vertical="center" wrapText="1"/>
    </xf>
    <xf numFmtId="0" fontId="12" fillId="0" borderId="5" xfId="0" applyFont="1" applyBorder="1" applyAlignment="1">
      <alignment wrapText="1"/>
    </xf>
    <xf numFmtId="14" fontId="12" fillId="7" borderId="0" xfId="0" applyNumberFormat="1" applyFont="1" applyFill="1" applyAlignment="1">
      <alignment wrapText="1"/>
    </xf>
    <xf numFmtId="0" fontId="3" fillId="7" borderId="0" xfId="0" applyFont="1" applyFill="1" applyAlignment="1">
      <alignment vertical="top" wrapText="1"/>
    </xf>
    <xf numFmtId="0" fontId="3" fillId="2" borderId="0" xfId="0" applyFont="1" applyFill="1" applyAlignment="1">
      <alignment vertical="top" wrapText="1"/>
    </xf>
    <xf numFmtId="0" fontId="3" fillId="8" borderId="0" xfId="0" applyFont="1" applyFill="1" applyAlignment="1">
      <alignment vertical="top" wrapText="1"/>
    </xf>
    <xf numFmtId="8" fontId="0" fillId="9" borderId="0" xfId="0" applyNumberFormat="1" applyFill="1" applyAlignment="1">
      <alignment wrapText="1"/>
    </xf>
    <xf numFmtId="0" fontId="0" fillId="9" borderId="0" xfId="0" applyFill="1"/>
    <xf numFmtId="0" fontId="0" fillId="10" borderId="0" xfId="0" applyFill="1"/>
    <xf numFmtId="0" fontId="3" fillId="0" borderId="0" xfId="0" applyFont="1" applyAlignment="1">
      <alignment vertical="top"/>
    </xf>
    <xf numFmtId="0" fontId="0" fillId="0" borderId="0" xfId="0" applyAlignment="1"/>
    <xf numFmtId="0" fontId="12" fillId="2" borderId="13" xfId="0" applyFont="1" applyFill="1" applyBorder="1" applyAlignment="1">
      <alignment horizontal="center" wrapText="1"/>
    </xf>
    <xf numFmtId="168" fontId="12" fillId="2" borderId="6" xfId="2" applyNumberFormat="1" applyFont="1" applyFill="1" applyBorder="1" applyAlignment="1">
      <alignment horizontal="center" vertical="center" wrapText="1"/>
    </xf>
    <xf numFmtId="168" fontId="12" fillId="2" borderId="11" xfId="2" applyNumberFormat="1" applyFont="1" applyFill="1" applyBorder="1" applyAlignment="1">
      <alignment horizontal="center" vertical="center" wrapText="1"/>
    </xf>
    <xf numFmtId="168" fontId="12" fillId="2" borderId="7" xfId="2" applyNumberFormat="1" applyFont="1" applyFill="1" applyBorder="1" applyAlignment="1">
      <alignment horizontal="center" vertical="center" wrapText="1"/>
    </xf>
    <xf numFmtId="2" fontId="5" fillId="10" borderId="4" xfId="0" applyNumberFormat="1" applyFont="1" applyFill="1" applyBorder="1" applyAlignment="1">
      <alignment horizontal="center" vertical="center" wrapText="1"/>
    </xf>
    <xf numFmtId="164" fontId="3" fillId="0" borderId="0" xfId="0" applyNumberFormat="1" applyFont="1" applyFill="1" applyAlignment="1">
      <alignment wrapText="1"/>
    </xf>
    <xf numFmtId="1" fontId="12" fillId="0" borderId="0" xfId="0" applyNumberFormat="1" applyFont="1" applyAlignment="1">
      <alignment horizontal="center" wrapText="1"/>
    </xf>
    <xf numFmtId="0" fontId="1" fillId="0" borderId="0" xfId="0" applyFont="1" applyAlignment="1">
      <alignment horizontal="center" wrapText="1"/>
    </xf>
    <xf numFmtId="1" fontId="5" fillId="0" borderId="2" xfId="2" applyNumberFormat="1" applyFont="1" applyBorder="1" applyAlignment="1">
      <alignment horizontal="center" vertical="center" wrapText="1"/>
    </xf>
    <xf numFmtId="171" fontId="5" fillId="0" borderId="4" xfId="2"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1" fontId="5" fillId="0" borderId="4" xfId="0" applyNumberFormat="1" applyFont="1" applyBorder="1" applyAlignment="1">
      <alignment horizontal="center" vertical="center" wrapText="1"/>
    </xf>
    <xf numFmtId="0" fontId="12" fillId="0" borderId="0" xfId="0" applyFont="1" applyFill="1" applyAlignment="1">
      <alignment wrapText="1"/>
    </xf>
    <xf numFmtId="0" fontId="12" fillId="0" borderId="0" xfId="0" applyFont="1" applyFill="1" applyAlignment="1">
      <alignment horizontal="center" vertical="center" wrapText="1"/>
    </xf>
    <xf numFmtId="0" fontId="3" fillId="0" borderId="0" xfId="0" applyFont="1" applyAlignment="1"/>
    <xf numFmtId="0" fontId="20" fillId="0" borderId="0" xfId="0" applyFont="1" applyAlignment="1">
      <alignment wrapText="1"/>
    </xf>
    <xf numFmtId="0" fontId="20" fillId="0" borderId="0" xfId="0" applyFont="1" applyAlignment="1"/>
    <xf numFmtId="0" fontId="5" fillId="6" borderId="1" xfId="0" applyFont="1" applyFill="1" applyBorder="1" applyAlignment="1">
      <alignment horizontal="center" vertical="center" wrapText="1"/>
    </xf>
    <xf numFmtId="44" fontId="12" fillId="0" borderId="0" xfId="0" applyNumberFormat="1" applyFont="1" applyFill="1" applyAlignment="1">
      <alignment horizontal="center" vertical="center" wrapText="1"/>
    </xf>
    <xf numFmtId="0" fontId="3" fillId="0" borderId="0" xfId="0" applyFont="1" applyAlignment="1">
      <alignment horizontal="center" vertical="top" wrapText="1"/>
    </xf>
    <xf numFmtId="168" fontId="3" fillId="5" borderId="0" xfId="2" applyNumberFormat="1" applyFont="1" applyFill="1" applyAlignment="1">
      <alignment wrapText="1"/>
    </xf>
    <xf numFmtId="0" fontId="22" fillId="0" borderId="0" xfId="0" applyFont="1" applyAlignment="1">
      <alignment wrapText="1"/>
    </xf>
    <xf numFmtId="44" fontId="22" fillId="0" borderId="0" xfId="0" applyNumberFormat="1" applyFont="1" applyFill="1" applyAlignment="1">
      <alignment horizontal="center" vertical="center" wrapText="1"/>
    </xf>
    <xf numFmtId="2" fontId="12" fillId="2" borderId="6" xfId="0" applyNumberFormat="1" applyFont="1" applyFill="1" applyBorder="1" applyAlignment="1">
      <alignment horizontal="center" vertical="center" wrapText="1"/>
    </xf>
    <xf numFmtId="168" fontId="22" fillId="0" borderId="6" xfId="2" applyNumberFormat="1" applyFont="1" applyBorder="1" applyAlignment="1">
      <alignment horizontal="center" vertical="center" wrapText="1"/>
    </xf>
    <xf numFmtId="168" fontId="22" fillId="0" borderId="11" xfId="2" applyNumberFormat="1" applyFont="1" applyBorder="1" applyAlignment="1">
      <alignment horizontal="center" vertical="center" wrapText="1"/>
    </xf>
    <xf numFmtId="174" fontId="12" fillId="2" borderId="6" xfId="0" applyNumberFormat="1" applyFont="1" applyFill="1" applyBorder="1" applyAlignment="1">
      <alignment horizontal="center" vertical="center" wrapText="1"/>
    </xf>
    <xf numFmtId="174" fontId="12" fillId="2" borderId="11" xfId="0" applyNumberFormat="1" applyFont="1" applyFill="1" applyBorder="1" applyAlignment="1">
      <alignment horizontal="center" vertical="center" wrapText="1"/>
    </xf>
    <xf numFmtId="2" fontId="12" fillId="2" borderId="11" xfId="0" applyNumberFormat="1" applyFont="1" applyFill="1" applyBorder="1" applyAlignment="1">
      <alignment horizontal="center" vertical="center" wrapText="1"/>
    </xf>
    <xf numFmtId="3" fontId="12" fillId="2" borderId="11" xfId="0" applyNumberFormat="1" applyFont="1" applyFill="1" applyBorder="1" applyAlignment="1">
      <alignment horizontal="center" vertical="center" wrapText="1"/>
    </xf>
    <xf numFmtId="44" fontId="12" fillId="0" borderId="0" xfId="0" applyNumberFormat="1" applyFont="1" applyAlignment="1">
      <alignment wrapText="1"/>
    </xf>
    <xf numFmtId="0" fontId="12" fillId="0" borderId="0" xfId="0" applyFont="1" applyFill="1" applyAlignment="1"/>
    <xf numFmtId="44" fontId="12" fillId="4" borderId="0" xfId="2" applyNumberFormat="1" applyFont="1" applyFill="1" applyAlignment="1">
      <alignment horizontal="center" vertical="center" wrapText="1"/>
    </xf>
    <xf numFmtId="1" fontId="12" fillId="0" borderId="6" xfId="1" applyNumberFormat="1" applyFont="1" applyFill="1" applyBorder="1" applyAlignment="1">
      <alignment horizontal="center" vertical="center" wrapText="1"/>
    </xf>
    <xf numFmtId="1" fontId="12" fillId="0" borderId="11" xfId="1" applyNumberFormat="1" applyFont="1" applyFill="1" applyBorder="1" applyAlignment="1">
      <alignment horizontal="center" vertical="center" wrapText="1"/>
    </xf>
    <xf numFmtId="174" fontId="12" fillId="2" borderId="6" xfId="0" applyNumberFormat="1" applyFont="1" applyFill="1" applyBorder="1" applyAlignment="1">
      <alignment horizontal="center" wrapText="1"/>
    </xf>
    <xf numFmtId="174" fontId="12" fillId="2" borderId="11" xfId="0" applyNumberFormat="1" applyFont="1" applyFill="1" applyBorder="1" applyAlignment="1">
      <alignment horizontal="center" wrapText="1"/>
    </xf>
    <xf numFmtId="170" fontId="12" fillId="2" borderId="7" xfId="0" applyNumberFormat="1" applyFont="1" applyFill="1" applyBorder="1" applyAlignment="1">
      <alignment horizontal="center" vertical="center" wrapText="1"/>
    </xf>
    <xf numFmtId="174" fontId="12" fillId="2" borderId="7" xfId="4" applyNumberFormat="1" applyFont="1" applyFill="1" applyBorder="1" applyAlignment="1">
      <alignment horizontal="center" wrapText="1"/>
    </xf>
    <xf numFmtId="174" fontId="12" fillId="2" borderId="7" xfId="0" applyNumberFormat="1" applyFont="1" applyFill="1" applyBorder="1" applyAlignment="1">
      <alignment horizontal="center" vertical="center" wrapText="1"/>
    </xf>
    <xf numFmtId="3" fontId="12" fillId="2" borderId="7" xfId="0" applyNumberFormat="1" applyFont="1" applyFill="1" applyBorder="1" applyAlignment="1">
      <alignment horizontal="center" vertical="center" wrapText="1"/>
    </xf>
    <xf numFmtId="1" fontId="12" fillId="0" borderId="7" xfId="1" applyNumberFormat="1" applyFont="1" applyFill="1" applyBorder="1" applyAlignment="1">
      <alignment horizontal="center" vertical="center" wrapText="1"/>
    </xf>
    <xf numFmtId="3" fontId="12" fillId="0" borderId="6" xfId="1" applyNumberFormat="1" applyFont="1" applyBorder="1" applyAlignment="1">
      <alignment horizontal="center" vertical="center" wrapText="1"/>
    </xf>
    <xf numFmtId="3" fontId="12" fillId="0" borderId="11" xfId="1" applyNumberFormat="1" applyFont="1" applyBorder="1" applyAlignment="1">
      <alignment horizontal="center" vertical="center" wrapText="1"/>
    </xf>
    <xf numFmtId="3" fontId="12" fillId="0" borderId="7" xfId="1" applyNumberFormat="1" applyFont="1" applyBorder="1" applyAlignment="1">
      <alignment horizontal="center" vertical="center" wrapText="1"/>
    </xf>
    <xf numFmtId="3" fontId="12" fillId="0" borderId="6" xfId="4" applyNumberFormat="1" applyFont="1" applyBorder="1" applyAlignment="1">
      <alignment horizontal="center" vertical="center" wrapText="1"/>
    </xf>
    <xf numFmtId="3" fontId="12" fillId="0" borderId="11" xfId="4" applyNumberFormat="1" applyFont="1" applyBorder="1" applyAlignment="1">
      <alignment horizontal="center" vertical="center" wrapText="1"/>
    </xf>
    <xf numFmtId="0" fontId="3" fillId="0" borderId="0" xfId="0" applyFont="1" applyAlignment="1">
      <alignment horizontal="center" vertical="top" wrapText="1"/>
    </xf>
    <xf numFmtId="164" fontId="12" fillId="0" borderId="6" xfId="2" applyNumberFormat="1" applyFont="1" applyBorder="1" applyAlignment="1">
      <alignment horizontal="center" vertical="center" wrapText="1"/>
    </xf>
    <xf numFmtId="164" fontId="12" fillId="0" borderId="11" xfId="2" applyNumberFormat="1" applyFont="1" applyBorder="1" applyAlignment="1">
      <alignment horizontal="center" vertical="center" wrapText="1"/>
    </xf>
    <xf numFmtId="0" fontId="12" fillId="0" borderId="0" xfId="0" applyFont="1" applyAlignment="1"/>
    <xf numFmtId="0" fontId="12" fillId="0" borderId="14" xfId="0" applyFont="1" applyBorder="1" applyAlignment="1">
      <alignment wrapText="1"/>
    </xf>
    <xf numFmtId="0" fontId="12" fillId="0" borderId="13" xfId="0" applyFont="1" applyBorder="1" applyAlignment="1">
      <alignment horizontal="center" wrapText="1"/>
    </xf>
    <xf numFmtId="0" fontId="13" fillId="0" borderId="0" xfId="0" applyFont="1" applyAlignment="1">
      <alignment horizontal="center" vertical="center" wrapText="1"/>
    </xf>
    <xf numFmtId="164" fontId="0" fillId="10" borderId="0" xfId="0" applyNumberFormat="1" applyFill="1" applyAlignment="1">
      <alignment wrapText="1"/>
    </xf>
    <xf numFmtId="10" fontId="0" fillId="9" borderId="0" xfId="0" applyNumberFormat="1" applyFill="1" applyAlignment="1">
      <alignment wrapText="1"/>
    </xf>
    <xf numFmtId="167" fontId="0" fillId="9" borderId="0" xfId="0" applyNumberFormat="1" applyFill="1" applyAlignment="1">
      <alignment wrapText="1"/>
    </xf>
    <xf numFmtId="8" fontId="5" fillId="0" borderId="0" xfId="0" applyNumberFormat="1" applyFont="1" applyAlignment="1">
      <alignment wrapText="1"/>
    </xf>
    <xf numFmtId="164" fontId="5" fillId="10" borderId="0" xfId="0" applyNumberFormat="1" applyFont="1" applyFill="1" applyAlignment="1">
      <alignment wrapText="1"/>
    </xf>
    <xf numFmtId="3" fontId="12" fillId="11" borderId="6" xfId="1" applyNumberFormat="1" applyFont="1" applyFill="1" applyBorder="1" applyAlignment="1">
      <alignment horizontal="center" vertical="center" wrapText="1"/>
    </xf>
    <xf numFmtId="3" fontId="12" fillId="11" borderId="11" xfId="0" applyNumberFormat="1" applyFont="1" applyFill="1" applyBorder="1" applyAlignment="1">
      <alignment horizontal="center" vertical="center" wrapText="1"/>
    </xf>
    <xf numFmtId="3" fontId="12" fillId="11" borderId="7" xfId="0" applyNumberFormat="1" applyFont="1" applyFill="1" applyBorder="1" applyAlignment="1">
      <alignment horizontal="center" vertical="center" wrapText="1"/>
    </xf>
    <xf numFmtId="0" fontId="3" fillId="11" borderId="0" xfId="0" applyFont="1" applyFill="1" applyAlignment="1">
      <alignment vertical="top" wrapText="1"/>
    </xf>
    <xf numFmtId="0" fontId="3" fillId="0" borderId="0" xfId="0" applyFont="1" applyAlignment="1">
      <alignment horizontal="left" vertical="top" wrapText="1"/>
    </xf>
    <xf numFmtId="0" fontId="9" fillId="0" borderId="0" xfId="3" applyAlignment="1" applyProtection="1"/>
    <xf numFmtId="0" fontId="8" fillId="0" borderId="0" xfId="0" applyFont="1" applyAlignment="1">
      <alignment horizontal="left"/>
    </xf>
    <xf numFmtId="0" fontId="3" fillId="0" borderId="0" xfId="0" applyFont="1" applyAlignment="1">
      <alignment horizontal="center"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center" vertical="center" wrapText="1"/>
    </xf>
    <xf numFmtId="0" fontId="15" fillId="0" borderId="0" xfId="0" applyFont="1" applyAlignment="1">
      <alignment horizontal="left" wrapText="1"/>
    </xf>
    <xf numFmtId="0" fontId="14" fillId="0" borderId="0" xfId="0" applyFont="1" applyFill="1" applyAlignment="1">
      <alignment horizontal="left" wrapText="1"/>
    </xf>
    <xf numFmtId="0" fontId="12" fillId="0" borderId="16"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3" xfId="0" applyFont="1" applyBorder="1" applyAlignment="1">
      <alignment horizontal="center" vertical="center" wrapText="1"/>
    </xf>
    <xf numFmtId="0" fontId="8" fillId="0" borderId="0" xfId="0" applyFont="1" applyFill="1" applyAlignment="1">
      <alignment horizontal="center" vertical="center" wrapText="1"/>
    </xf>
    <xf numFmtId="0" fontId="3" fillId="0" borderId="0" xfId="0" applyFont="1" applyFill="1" applyAlignment="1">
      <alignment horizontal="left" vertical="center" wrapText="1"/>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colors>
    <mruColors>
      <color rgb="FFFCD5B4"/>
      <color rgb="FFFFFF99"/>
      <color rgb="FFD9D9D9"/>
      <color rgb="FFB1A0C7"/>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workbookViewId="0">
      <selection sqref="A1:D1"/>
    </sheetView>
  </sheetViews>
  <sheetFormatPr defaultRowHeight="12.75" x14ac:dyDescent="0.2"/>
  <cols>
    <col min="2" max="2" width="11.42578125" customWidth="1"/>
  </cols>
  <sheetData>
    <row r="1" spans="1:10" ht="18" x14ac:dyDescent="0.25">
      <c r="A1" s="165" t="s">
        <v>38</v>
      </c>
      <c r="B1" s="165"/>
      <c r="C1" s="165"/>
      <c r="D1" s="165"/>
    </row>
    <row r="4" spans="1:10" ht="45" customHeight="1" x14ac:dyDescent="0.2">
      <c r="A4" s="166" t="s">
        <v>124</v>
      </c>
      <c r="B4" s="166"/>
      <c r="C4" s="166"/>
      <c r="D4" s="166"/>
      <c r="E4" s="166"/>
      <c r="F4" s="166"/>
      <c r="G4" s="166"/>
      <c r="H4" s="166"/>
      <c r="I4" s="166"/>
      <c r="J4" s="24"/>
    </row>
    <row r="5" spans="1:10" ht="45" customHeight="1" x14ac:dyDescent="0.2">
      <c r="A5" s="166" t="s">
        <v>47</v>
      </c>
      <c r="B5" s="166"/>
      <c r="C5" s="166"/>
      <c r="D5" s="166"/>
      <c r="E5" s="166"/>
      <c r="F5" s="166"/>
      <c r="G5" s="166"/>
      <c r="H5" s="166"/>
      <c r="I5" s="166"/>
      <c r="J5" s="24"/>
    </row>
    <row r="6" spans="1:10" ht="36.75" customHeight="1" x14ac:dyDescent="0.2">
      <c r="A6" s="166" t="s">
        <v>42</v>
      </c>
      <c r="B6" s="166"/>
      <c r="C6" s="166"/>
      <c r="D6" s="166"/>
      <c r="E6" s="166"/>
      <c r="F6" s="166"/>
      <c r="G6" s="166"/>
      <c r="H6" s="166"/>
      <c r="I6" s="166"/>
      <c r="J6" s="24"/>
    </row>
    <row r="7" spans="1:10" ht="48" customHeight="1" x14ac:dyDescent="0.2">
      <c r="A7" s="166" t="s">
        <v>125</v>
      </c>
      <c r="B7" s="166"/>
      <c r="C7" s="166"/>
      <c r="D7" s="166"/>
      <c r="E7" s="166"/>
      <c r="F7" s="166"/>
      <c r="G7" s="166"/>
      <c r="H7" s="166"/>
      <c r="I7" s="166"/>
      <c r="J7" s="147"/>
    </row>
    <row r="8" spans="1:10" ht="86.25" customHeight="1" x14ac:dyDescent="0.2">
      <c r="A8" s="166" t="s">
        <v>126</v>
      </c>
      <c r="B8" s="166"/>
      <c r="C8" s="166"/>
      <c r="D8" s="166"/>
      <c r="E8" s="166"/>
      <c r="F8" s="166"/>
      <c r="G8" s="166"/>
      <c r="H8" s="166"/>
      <c r="I8" s="166"/>
      <c r="J8" s="24"/>
    </row>
    <row r="9" spans="1:10" ht="12.75" customHeight="1" x14ac:dyDescent="0.2">
      <c r="A9" s="60"/>
      <c r="B9" s="60"/>
      <c r="C9" s="60"/>
      <c r="D9" s="60"/>
      <c r="E9" s="60"/>
      <c r="F9" s="60"/>
      <c r="G9" s="60"/>
      <c r="H9" s="60"/>
      <c r="I9" s="60"/>
      <c r="J9" s="24"/>
    </row>
    <row r="10" spans="1:10" ht="12.75" customHeight="1" x14ac:dyDescent="0.2">
      <c r="A10" s="60"/>
      <c r="B10" s="60"/>
      <c r="C10" s="60"/>
      <c r="D10" s="60"/>
      <c r="E10" s="60"/>
      <c r="F10" s="60"/>
      <c r="G10" s="60"/>
      <c r="H10" s="60"/>
      <c r="I10" s="60"/>
      <c r="J10" s="24"/>
    </row>
    <row r="11" spans="1:10" ht="12.75" customHeight="1" x14ac:dyDescent="0.2">
      <c r="A11" s="91" t="s">
        <v>48</v>
      </c>
      <c r="B11" s="97" t="s">
        <v>55</v>
      </c>
      <c r="C11" s="60"/>
      <c r="D11" s="60"/>
      <c r="E11" s="60"/>
      <c r="F11" s="60"/>
      <c r="G11" s="60"/>
      <c r="H11" s="60"/>
      <c r="I11" s="60"/>
      <c r="J11" s="24"/>
    </row>
    <row r="12" spans="1:10" ht="12.75" customHeight="1" x14ac:dyDescent="0.2">
      <c r="A12" s="92" t="s">
        <v>49</v>
      </c>
      <c r="B12" s="97" t="s">
        <v>54</v>
      </c>
      <c r="C12" s="60"/>
      <c r="D12" s="60"/>
      <c r="E12" s="60"/>
      <c r="F12" s="60"/>
      <c r="G12" s="60"/>
      <c r="H12" s="60"/>
      <c r="I12" s="60"/>
      <c r="J12" s="24"/>
    </row>
    <row r="13" spans="1:10" ht="12.75" customHeight="1" x14ac:dyDescent="0.2">
      <c r="A13" s="162" t="s">
        <v>112</v>
      </c>
      <c r="B13" s="97" t="s">
        <v>113</v>
      </c>
      <c r="C13" s="60"/>
      <c r="D13" s="60"/>
      <c r="E13" s="60"/>
      <c r="F13" s="60"/>
      <c r="G13" s="60"/>
      <c r="H13" s="60"/>
      <c r="I13" s="60"/>
      <c r="J13" s="24"/>
    </row>
    <row r="14" spans="1:10" ht="12.75" customHeight="1" x14ac:dyDescent="0.2">
      <c r="A14" s="95" t="s">
        <v>51</v>
      </c>
      <c r="B14" s="97" t="s">
        <v>114</v>
      </c>
      <c r="J14" s="24"/>
    </row>
    <row r="15" spans="1:10" ht="12.75" customHeight="1" x14ac:dyDescent="0.2">
      <c r="A15" s="96" t="s">
        <v>52</v>
      </c>
      <c r="B15" s="97" t="s">
        <v>115</v>
      </c>
      <c r="J15" s="24"/>
    </row>
    <row r="16" spans="1:10" x14ac:dyDescent="0.2">
      <c r="A16" s="93" t="s">
        <v>50</v>
      </c>
      <c r="B16" s="98" t="s">
        <v>53</v>
      </c>
      <c r="J16" s="24"/>
    </row>
    <row r="17" spans="1:10" ht="12.75" customHeight="1" x14ac:dyDescent="0.2">
      <c r="A17" s="24"/>
      <c r="B17" s="24"/>
      <c r="C17" s="24"/>
      <c r="D17" s="24"/>
      <c r="E17" s="24"/>
      <c r="F17" s="24"/>
      <c r="G17" s="24"/>
      <c r="H17" s="24"/>
      <c r="I17" s="24"/>
      <c r="J17" s="24"/>
    </row>
    <row r="18" spans="1:10" x14ac:dyDescent="0.2">
      <c r="A18" s="24"/>
      <c r="B18" s="24"/>
      <c r="C18" s="24"/>
      <c r="D18" s="24"/>
      <c r="E18" s="24"/>
      <c r="F18" s="24"/>
      <c r="G18" s="24"/>
      <c r="H18" s="24"/>
      <c r="I18" s="24"/>
      <c r="J18" s="24"/>
    </row>
    <row r="19" spans="1:10" x14ac:dyDescent="0.2">
      <c r="A19" s="24"/>
      <c r="B19" s="24"/>
      <c r="C19" s="24"/>
      <c r="D19" s="24"/>
      <c r="E19" s="24"/>
      <c r="F19" s="24"/>
      <c r="G19" s="24"/>
      <c r="H19" s="24"/>
      <c r="I19" s="24"/>
      <c r="J19" s="24"/>
    </row>
    <row r="20" spans="1:10" ht="18" x14ac:dyDescent="0.25">
      <c r="A20" s="165" t="s">
        <v>122</v>
      </c>
      <c r="B20" s="165"/>
      <c r="C20" s="165"/>
      <c r="D20" s="165"/>
      <c r="E20" s="24"/>
      <c r="F20" s="24"/>
      <c r="G20" s="24"/>
      <c r="H20" s="24"/>
      <c r="I20" s="24"/>
      <c r="J20" s="24"/>
    </row>
    <row r="21" spans="1:10" x14ac:dyDescent="0.2">
      <c r="A21" s="24"/>
      <c r="B21" s="24"/>
      <c r="C21" s="24"/>
      <c r="D21" s="24"/>
      <c r="E21" s="24"/>
      <c r="F21" s="24"/>
      <c r="G21" s="24"/>
      <c r="H21" s="24"/>
      <c r="I21" s="24"/>
      <c r="J21" s="24"/>
    </row>
    <row r="22" spans="1:10" x14ac:dyDescent="0.2">
      <c r="A22" s="24" t="s">
        <v>119</v>
      </c>
      <c r="B22" s="163" t="s">
        <v>120</v>
      </c>
      <c r="C22" s="23" t="s">
        <v>123</v>
      </c>
      <c r="D22" s="119"/>
      <c r="E22" s="119"/>
      <c r="F22" s="119"/>
      <c r="G22" s="119"/>
      <c r="H22" s="119"/>
      <c r="I22" s="119"/>
    </row>
    <row r="23" spans="1:10" x14ac:dyDescent="0.2">
      <c r="A23" s="24" t="s">
        <v>40</v>
      </c>
      <c r="B23" s="23" t="s">
        <v>116</v>
      </c>
      <c r="C23" s="23" t="s">
        <v>121</v>
      </c>
    </row>
    <row r="24" spans="1:10" x14ac:dyDescent="0.2">
      <c r="A24" s="24" t="s">
        <v>8</v>
      </c>
      <c r="B24" s="23" t="s">
        <v>117</v>
      </c>
      <c r="C24" s="23" t="s">
        <v>118</v>
      </c>
    </row>
    <row r="25" spans="1:10" x14ac:dyDescent="0.2">
      <c r="A25" s="24"/>
      <c r="B25" s="23"/>
    </row>
    <row r="26" spans="1:10" x14ac:dyDescent="0.2">
      <c r="A26" s="24"/>
    </row>
    <row r="27" spans="1:10" x14ac:dyDescent="0.2">
      <c r="A27" s="24"/>
    </row>
    <row r="28" spans="1:10" x14ac:dyDescent="0.2">
      <c r="A28" s="24"/>
    </row>
    <row r="29" spans="1:10" x14ac:dyDescent="0.2">
      <c r="A29" s="24"/>
    </row>
    <row r="31" spans="1:10" x14ac:dyDescent="0.2">
      <c r="A31" s="23" t="s">
        <v>36</v>
      </c>
    </row>
  </sheetData>
  <mergeCells count="7">
    <mergeCell ref="A20:D20"/>
    <mergeCell ref="A1:D1"/>
    <mergeCell ref="A5:I5"/>
    <mergeCell ref="A6:I6"/>
    <mergeCell ref="A4:I4"/>
    <mergeCell ref="A8:I8"/>
    <mergeCell ref="A7:I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3"/>
  <sheetViews>
    <sheetView workbookViewId="0"/>
  </sheetViews>
  <sheetFormatPr defaultRowHeight="12.75" x14ac:dyDescent="0.2"/>
  <cols>
    <col min="1" max="1" width="31.28515625" style="4" customWidth="1"/>
    <col min="2" max="2" width="13.140625" style="4" customWidth="1"/>
    <col min="3" max="3" width="12.7109375" style="4" customWidth="1"/>
    <col min="4" max="4" width="10.5703125" style="4" customWidth="1"/>
    <col min="5" max="5" width="9.140625" style="4"/>
    <col min="6" max="6" width="12.140625" style="4" customWidth="1"/>
    <col min="7" max="7" width="11.5703125" style="4" customWidth="1"/>
    <col min="8" max="8" width="9.140625" style="4"/>
    <col min="9" max="9" width="11.5703125" style="4" customWidth="1"/>
    <col min="10" max="11" width="11.5703125" style="4" bestFit="1" customWidth="1"/>
    <col min="12" max="12" width="9.140625" style="4"/>
    <col min="13" max="13" width="11.5703125" style="4" customWidth="1"/>
    <col min="14" max="14" width="19.42578125" style="4" customWidth="1"/>
    <col min="15" max="16384" width="9.140625" style="4"/>
  </cols>
  <sheetData>
    <row r="1" spans="1:15" ht="29.25" customHeight="1" x14ac:dyDescent="0.25">
      <c r="A1" s="22" t="s">
        <v>34</v>
      </c>
      <c r="B1" s="22"/>
      <c r="C1" s="22"/>
    </row>
    <row r="2" spans="1:15" ht="12.75" customHeight="1" x14ac:dyDescent="0.25">
      <c r="A2" s="22"/>
      <c r="B2" s="22"/>
      <c r="C2" s="22"/>
      <c r="M2" s="50"/>
      <c r="N2" s="50"/>
    </row>
    <row r="3" spans="1:15" ht="21.75" customHeight="1" x14ac:dyDescent="0.25">
      <c r="A3" s="170" t="s">
        <v>45</v>
      </c>
      <c r="B3" s="170"/>
      <c r="C3" s="22"/>
      <c r="M3" s="50"/>
      <c r="N3" s="50"/>
    </row>
    <row r="4" spans="1:15" ht="44.25" customHeight="1" x14ac:dyDescent="0.2">
      <c r="A4" s="167" t="s">
        <v>37</v>
      </c>
      <c r="B4" s="168"/>
      <c r="C4" s="168"/>
      <c r="D4" s="168"/>
      <c r="E4" s="168"/>
    </row>
    <row r="5" spans="1:15" ht="38.25" x14ac:dyDescent="0.2">
      <c r="B5" s="2" t="s">
        <v>24</v>
      </c>
      <c r="C5" s="2" t="s">
        <v>27</v>
      </c>
      <c r="D5" s="2" t="s">
        <v>28</v>
      </c>
      <c r="E5" s="2" t="s">
        <v>25</v>
      </c>
      <c r="F5" s="2" t="s">
        <v>29</v>
      </c>
      <c r="G5" s="2" t="s">
        <v>100</v>
      </c>
    </row>
    <row r="6" spans="1:15" ht="12.75" customHeight="1" x14ac:dyDescent="0.2">
      <c r="A6" s="4">
        <v>1</v>
      </c>
      <c r="B6" s="90">
        <v>43482</v>
      </c>
      <c r="C6" s="36">
        <v>1420</v>
      </c>
      <c r="D6" s="61">
        <v>34</v>
      </c>
      <c r="E6" s="52">
        <f>C6/D6</f>
        <v>41.764705882352942</v>
      </c>
      <c r="F6" s="37">
        <f>C6*0.12</f>
        <v>170.4</v>
      </c>
      <c r="G6" s="51">
        <f>F6/C6</f>
        <v>0.12000000000000001</v>
      </c>
      <c r="N6" s="18"/>
    </row>
    <row r="7" spans="1:15" x14ac:dyDescent="0.2">
      <c r="A7" s="4">
        <v>2</v>
      </c>
      <c r="B7" s="35">
        <v>43511</v>
      </c>
      <c r="C7" s="36">
        <v>1350</v>
      </c>
      <c r="D7" s="61">
        <f>B7-B6</f>
        <v>29</v>
      </c>
      <c r="E7" s="52">
        <f>C7/D7</f>
        <v>46.551724137931032</v>
      </c>
      <c r="F7" s="37">
        <f t="shared" ref="F7:F17" si="0">C7*0.12</f>
        <v>162</v>
      </c>
      <c r="G7" s="51">
        <f t="shared" ref="G7:G17" si="1">F7/C7</f>
        <v>0.12</v>
      </c>
    </row>
    <row r="8" spans="1:15" ht="14.25" customHeight="1" x14ac:dyDescent="0.2">
      <c r="A8" s="4">
        <v>3</v>
      </c>
      <c r="B8" s="35">
        <v>43541</v>
      </c>
      <c r="C8" s="36">
        <v>1297</v>
      </c>
      <c r="D8" s="61">
        <f t="shared" ref="D8:D17" si="2">B8-B7</f>
        <v>30</v>
      </c>
      <c r="E8" s="52">
        <f t="shared" ref="E8:E17" si="3">C8/D8</f>
        <v>43.233333333333334</v>
      </c>
      <c r="F8" s="37">
        <f t="shared" si="0"/>
        <v>155.63999999999999</v>
      </c>
      <c r="G8" s="51">
        <f t="shared" si="1"/>
        <v>0.12</v>
      </c>
      <c r="M8" s="3"/>
      <c r="N8" s="3"/>
      <c r="O8" s="3"/>
    </row>
    <row r="9" spans="1:15" ht="12.75" customHeight="1" x14ac:dyDescent="0.2">
      <c r="A9" s="4">
        <v>4</v>
      </c>
      <c r="B9" s="35">
        <v>43569</v>
      </c>
      <c r="C9" s="36">
        <v>1050</v>
      </c>
      <c r="D9" s="61">
        <f t="shared" si="2"/>
        <v>28</v>
      </c>
      <c r="E9" s="52">
        <f t="shared" si="3"/>
        <v>37.5</v>
      </c>
      <c r="F9" s="37">
        <f>C9*0.12</f>
        <v>126</v>
      </c>
      <c r="G9" s="51">
        <f t="shared" si="1"/>
        <v>0.12</v>
      </c>
      <c r="M9" s="3"/>
    </row>
    <row r="10" spans="1:15" x14ac:dyDescent="0.2">
      <c r="A10" s="4">
        <v>5</v>
      </c>
      <c r="B10" s="35">
        <v>43601</v>
      </c>
      <c r="C10" s="36">
        <v>1050</v>
      </c>
      <c r="D10" s="61">
        <f t="shared" si="2"/>
        <v>32</v>
      </c>
      <c r="E10" s="52">
        <f t="shared" si="3"/>
        <v>32.8125</v>
      </c>
      <c r="F10" s="37">
        <f t="shared" si="0"/>
        <v>126</v>
      </c>
      <c r="G10" s="51">
        <f t="shared" si="1"/>
        <v>0.12</v>
      </c>
    </row>
    <row r="11" spans="1:15" x14ac:dyDescent="0.2">
      <c r="A11" s="4">
        <v>6</v>
      </c>
      <c r="B11" s="35">
        <v>43631</v>
      </c>
      <c r="C11" s="36">
        <v>1097</v>
      </c>
      <c r="D11" s="61">
        <f t="shared" si="2"/>
        <v>30</v>
      </c>
      <c r="E11" s="52">
        <f t="shared" si="3"/>
        <v>36.56666666666667</v>
      </c>
      <c r="F11" s="37">
        <f t="shared" si="0"/>
        <v>131.63999999999999</v>
      </c>
      <c r="G11" s="51">
        <f t="shared" si="1"/>
        <v>0.11999999999999998</v>
      </c>
    </row>
    <row r="12" spans="1:15" x14ac:dyDescent="0.2">
      <c r="A12" s="4">
        <v>7</v>
      </c>
      <c r="B12" s="35">
        <v>43663</v>
      </c>
      <c r="C12" s="36">
        <v>1197</v>
      </c>
      <c r="D12" s="61">
        <f t="shared" si="2"/>
        <v>32</v>
      </c>
      <c r="E12" s="52">
        <f t="shared" si="3"/>
        <v>37.40625</v>
      </c>
      <c r="F12" s="37">
        <f t="shared" si="0"/>
        <v>143.63999999999999</v>
      </c>
      <c r="G12" s="51">
        <f t="shared" si="1"/>
        <v>0.11999999999999998</v>
      </c>
    </row>
    <row r="13" spans="1:15" x14ac:dyDescent="0.2">
      <c r="A13" s="4">
        <v>8</v>
      </c>
      <c r="B13" s="35">
        <v>43692</v>
      </c>
      <c r="C13" s="36">
        <v>1197</v>
      </c>
      <c r="D13" s="61">
        <f t="shared" si="2"/>
        <v>29</v>
      </c>
      <c r="E13" s="52">
        <f t="shared" si="3"/>
        <v>41.275862068965516</v>
      </c>
      <c r="F13" s="37">
        <f t="shared" si="0"/>
        <v>143.63999999999999</v>
      </c>
      <c r="G13" s="51">
        <f t="shared" si="1"/>
        <v>0.11999999999999998</v>
      </c>
    </row>
    <row r="14" spans="1:15" x14ac:dyDescent="0.2">
      <c r="A14" s="4">
        <v>9</v>
      </c>
      <c r="B14" s="35">
        <v>43722</v>
      </c>
      <c r="C14" s="36">
        <v>1250</v>
      </c>
      <c r="D14" s="61">
        <f t="shared" si="2"/>
        <v>30</v>
      </c>
      <c r="E14" s="52">
        <f t="shared" si="3"/>
        <v>41.666666666666664</v>
      </c>
      <c r="F14" s="37">
        <f t="shared" si="0"/>
        <v>150</v>
      </c>
      <c r="G14" s="51">
        <f t="shared" si="1"/>
        <v>0.12</v>
      </c>
    </row>
    <row r="15" spans="1:15" x14ac:dyDescent="0.2">
      <c r="A15" s="4">
        <v>10</v>
      </c>
      <c r="B15" s="35">
        <v>43751</v>
      </c>
      <c r="C15" s="36">
        <v>1297</v>
      </c>
      <c r="D15" s="61">
        <f t="shared" si="2"/>
        <v>29</v>
      </c>
      <c r="E15" s="52">
        <f t="shared" si="3"/>
        <v>44.724137931034484</v>
      </c>
      <c r="F15" s="37">
        <f t="shared" si="0"/>
        <v>155.63999999999999</v>
      </c>
      <c r="G15" s="51">
        <f t="shared" si="1"/>
        <v>0.12</v>
      </c>
    </row>
    <row r="16" spans="1:15" x14ac:dyDescent="0.2">
      <c r="A16" s="4">
        <v>11</v>
      </c>
      <c r="B16" s="35">
        <v>43783</v>
      </c>
      <c r="C16" s="36">
        <v>1320</v>
      </c>
      <c r="D16" s="61">
        <f t="shared" si="2"/>
        <v>32</v>
      </c>
      <c r="E16" s="52">
        <f t="shared" si="3"/>
        <v>41.25</v>
      </c>
      <c r="F16" s="37">
        <f t="shared" si="0"/>
        <v>158.4</v>
      </c>
      <c r="G16" s="51">
        <f t="shared" si="1"/>
        <v>0.12000000000000001</v>
      </c>
      <c r="N16" s="18"/>
    </row>
    <row r="17" spans="1:11" ht="12.75" customHeight="1" x14ac:dyDescent="0.2">
      <c r="A17" s="4">
        <v>12</v>
      </c>
      <c r="B17" s="35">
        <v>43814</v>
      </c>
      <c r="C17" s="36">
        <v>1420</v>
      </c>
      <c r="D17" s="61">
        <f t="shared" si="2"/>
        <v>31</v>
      </c>
      <c r="E17" s="52">
        <f t="shared" si="3"/>
        <v>45.806451612903224</v>
      </c>
      <c r="F17" s="37">
        <f t="shared" si="0"/>
        <v>170.4</v>
      </c>
      <c r="G17" s="51">
        <f t="shared" si="1"/>
        <v>0.12000000000000001</v>
      </c>
    </row>
    <row r="18" spans="1:11" x14ac:dyDescent="0.2">
      <c r="B18" s="53" t="s">
        <v>26</v>
      </c>
      <c r="C18" s="54">
        <f>AVERAGE(C6:C17)</f>
        <v>1245.4166666666667</v>
      </c>
      <c r="D18" s="54">
        <f>AVERAGE(D6:D17)</f>
        <v>30.5</v>
      </c>
      <c r="E18" s="54">
        <f>AVERAGE(E6:E17)</f>
        <v>40.879858191654492</v>
      </c>
      <c r="F18" s="55">
        <f>AVERAGE(F6:F17)</f>
        <v>149.45000000000002</v>
      </c>
      <c r="G18" s="55">
        <f>AVERAGE(G6:G17)</f>
        <v>0.12000000000000004</v>
      </c>
    </row>
    <row r="19" spans="1:11" x14ac:dyDescent="0.2">
      <c r="B19" s="1"/>
      <c r="C19" s="16"/>
      <c r="D19" s="16"/>
      <c r="E19" s="16"/>
      <c r="F19" s="17"/>
      <c r="G19" s="17"/>
    </row>
    <row r="20" spans="1:11" x14ac:dyDescent="0.2">
      <c r="B20" s="1"/>
      <c r="C20" s="16"/>
      <c r="D20" s="16"/>
      <c r="E20" s="16"/>
      <c r="F20" s="17"/>
      <c r="G20" s="17"/>
    </row>
    <row r="21" spans="1:11" ht="13.5" thickBot="1" x14ac:dyDescent="0.25">
      <c r="B21" s="1"/>
      <c r="C21" s="16"/>
      <c r="D21" s="16"/>
      <c r="E21" s="16"/>
      <c r="F21" s="17"/>
      <c r="G21" s="17"/>
    </row>
    <row r="22" spans="1:11" ht="57.75" customHeight="1" thickBot="1" x14ac:dyDescent="0.25">
      <c r="B22" s="117" t="s">
        <v>39</v>
      </c>
      <c r="C22" s="103">
        <f>SUM(C6:C17)/1800</f>
        <v>8.3027777777777771</v>
      </c>
      <c r="D22" s="56" t="s">
        <v>40</v>
      </c>
      <c r="E22" s="16"/>
      <c r="F22" s="108" t="s">
        <v>58</v>
      </c>
      <c r="G22" s="107">
        <f>(C22*1000)/370</f>
        <v>22.43993993993994</v>
      </c>
      <c r="I22" s="109" t="s">
        <v>60</v>
      </c>
      <c r="J22" s="111">
        <f>(5.4*3.25)*G22</f>
        <v>393.82094594594594</v>
      </c>
      <c r="K22" s="110" t="s">
        <v>59</v>
      </c>
    </row>
    <row r="23" spans="1:11" x14ac:dyDescent="0.2">
      <c r="C23" s="114" t="s">
        <v>62</v>
      </c>
    </row>
    <row r="24" spans="1:11" x14ac:dyDescent="0.2">
      <c r="C24" s="114" t="s">
        <v>63</v>
      </c>
    </row>
    <row r="25" spans="1:11" x14ac:dyDescent="0.2">
      <c r="C25" s="114"/>
    </row>
    <row r="26" spans="1:11" ht="21.75" customHeight="1" x14ac:dyDescent="0.2">
      <c r="A26" s="170" t="s">
        <v>46</v>
      </c>
      <c r="B26" s="170"/>
    </row>
    <row r="27" spans="1:11" ht="50.25" customHeight="1" x14ac:dyDescent="0.2">
      <c r="A27" s="169" t="s">
        <v>66</v>
      </c>
      <c r="B27" s="169"/>
      <c r="C27" s="169"/>
      <c r="D27" s="169"/>
      <c r="E27" s="169"/>
    </row>
    <row r="29" spans="1:11" x14ac:dyDescent="0.2">
      <c r="A29" s="1" t="s">
        <v>30</v>
      </c>
    </row>
    <row r="30" spans="1:11" ht="38.25" x14ac:dyDescent="0.2">
      <c r="A30" s="3" t="s">
        <v>32</v>
      </c>
      <c r="B30" s="47" t="s">
        <v>67</v>
      </c>
      <c r="C30" s="3" t="s">
        <v>31</v>
      </c>
    </row>
    <row r="31" spans="1:11" x14ac:dyDescent="0.2">
      <c r="A31" s="120">
        <v>15000</v>
      </c>
      <c r="B31" s="94">
        <f>3.15-(3.15*0.36)</f>
        <v>2.016</v>
      </c>
      <c r="C31" s="57">
        <f>A31/B31/1000</f>
        <v>7.4404761904761907</v>
      </c>
    </row>
    <row r="32" spans="1:11" x14ac:dyDescent="0.2">
      <c r="A32" s="20"/>
      <c r="B32" s="21"/>
      <c r="C32" s="19"/>
    </row>
    <row r="33" spans="1:11" x14ac:dyDescent="0.2">
      <c r="A33" s="20"/>
      <c r="C33" s="19"/>
    </row>
    <row r="34" spans="1:11" ht="13.5" thickBot="1" x14ac:dyDescent="0.25">
      <c r="A34" s="1" t="s">
        <v>36</v>
      </c>
    </row>
    <row r="35" spans="1:11" ht="57.75" customHeight="1" thickBot="1" x14ac:dyDescent="0.25">
      <c r="B35" s="117" t="s">
        <v>64</v>
      </c>
      <c r="C35" s="103">
        <f>C31</f>
        <v>7.4404761904761907</v>
      </c>
      <c r="D35" s="56" t="s">
        <v>40</v>
      </c>
      <c r="F35" s="109" t="s">
        <v>58</v>
      </c>
      <c r="G35" s="111">
        <f>(C31*1000)/370</f>
        <v>20.109395109395109</v>
      </c>
      <c r="I35" s="109" t="s">
        <v>60</v>
      </c>
      <c r="J35" s="111">
        <f>(5.4*3.25*G35)</f>
        <v>352.9198841698842</v>
      </c>
      <c r="K35" s="110" t="s">
        <v>59</v>
      </c>
    </row>
    <row r="43" spans="1:11" x14ac:dyDescent="0.2">
      <c r="A43" s="164"/>
      <c r="B43" s="98"/>
      <c r="C43" s="98"/>
      <c r="D43" s="98"/>
    </row>
  </sheetData>
  <mergeCells count="4">
    <mergeCell ref="A4:E4"/>
    <mergeCell ref="A27:E27"/>
    <mergeCell ref="A3:B3"/>
    <mergeCell ref="A26:B26"/>
  </mergeCells>
  <phoneticPr fontId="4" type="noConversion"/>
  <pageMargins left="0.75" right="0.75" top="1" bottom="1" header="0.5" footer="0.5"/>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8"/>
  <sheetViews>
    <sheetView workbookViewId="0"/>
  </sheetViews>
  <sheetFormatPr defaultRowHeight="12.75" x14ac:dyDescent="0.2"/>
  <cols>
    <col min="1" max="1" width="43.5703125" style="31" customWidth="1"/>
    <col min="2" max="2" width="6" style="31" customWidth="1"/>
    <col min="3" max="3" width="14.7109375" style="31" customWidth="1"/>
    <col min="4" max="4" width="22.7109375" style="26" customWidth="1"/>
    <col min="5" max="5" width="23.140625" style="26" customWidth="1"/>
    <col min="6" max="6" width="23" style="26" customWidth="1"/>
    <col min="7" max="7" width="20.140625" style="31" customWidth="1"/>
    <col min="8" max="8" width="14.140625" style="31" customWidth="1"/>
    <col min="9" max="10" width="9.140625" style="31"/>
    <col min="11" max="11" width="11.5703125" style="31" bestFit="1" customWidth="1"/>
    <col min="12" max="16384" width="9.140625" style="31"/>
  </cols>
  <sheetData>
    <row r="1" spans="1:10" ht="54" customHeight="1" x14ac:dyDescent="0.25">
      <c r="A1" s="153" t="s">
        <v>43</v>
      </c>
      <c r="B1" s="30"/>
      <c r="C1" s="30"/>
      <c r="H1" s="26"/>
      <c r="I1" s="26"/>
      <c r="J1" s="26"/>
    </row>
    <row r="2" spans="1:10" ht="29.25" customHeight="1" x14ac:dyDescent="0.2">
      <c r="A2" s="171" t="s">
        <v>127</v>
      </c>
      <c r="B2" s="171"/>
      <c r="C2" s="171"/>
      <c r="D2" s="171"/>
      <c r="E2" s="171"/>
      <c r="F2" s="171"/>
      <c r="H2" s="26"/>
      <c r="I2" s="26"/>
      <c r="J2" s="26"/>
    </row>
    <row r="3" spans="1:10" ht="21" customHeight="1" x14ac:dyDescent="0.25">
      <c r="A3" s="48"/>
      <c r="B3" s="49"/>
      <c r="C3" s="48"/>
      <c r="D3" s="85"/>
      <c r="E3" s="86"/>
      <c r="F3" s="64"/>
      <c r="H3" s="26"/>
      <c r="I3" s="26"/>
      <c r="J3" s="26"/>
    </row>
    <row r="4" spans="1:10" ht="38.25" x14ac:dyDescent="0.2">
      <c r="A4" s="89"/>
      <c r="B4" s="89"/>
      <c r="C4" s="152" t="s">
        <v>101</v>
      </c>
      <c r="D4" s="172" t="s">
        <v>102</v>
      </c>
      <c r="E4" s="173"/>
      <c r="F4" s="174"/>
      <c r="G4" s="26"/>
    </row>
    <row r="5" spans="1:10" x14ac:dyDescent="0.2">
      <c r="A5" s="89"/>
      <c r="B5" s="89"/>
      <c r="C5" s="151"/>
      <c r="D5" s="62" t="s">
        <v>97</v>
      </c>
      <c r="E5" s="62" t="s">
        <v>41</v>
      </c>
      <c r="F5" s="99" t="s">
        <v>96</v>
      </c>
    </row>
    <row r="6" spans="1:10" x14ac:dyDescent="0.2">
      <c r="A6" s="31" t="s">
        <v>56</v>
      </c>
      <c r="C6" s="58">
        <f>'System sizing'!C22</f>
        <v>8.3027777777777771</v>
      </c>
      <c r="D6" s="123">
        <v>8.2799999999999994</v>
      </c>
      <c r="E6" s="128">
        <v>7.8</v>
      </c>
      <c r="F6" s="137">
        <v>7</v>
      </c>
      <c r="G6" s="116"/>
    </row>
    <row r="7" spans="1:10" x14ac:dyDescent="0.2">
      <c r="A7" s="31" t="s">
        <v>19</v>
      </c>
      <c r="C7" s="132">
        <v>3.15</v>
      </c>
      <c r="D7" s="66">
        <f>D8/(D6*1000)</f>
        <v>3</v>
      </c>
      <c r="E7" s="66">
        <f t="shared" ref="E7" si="0">E8/(E6*1000)</f>
        <v>3.05</v>
      </c>
      <c r="F7" s="78">
        <f>F8/(F6*1000)</f>
        <v>3</v>
      </c>
      <c r="G7" s="116"/>
    </row>
    <row r="8" spans="1:10" x14ac:dyDescent="0.2">
      <c r="A8" s="31" t="s">
        <v>16</v>
      </c>
      <c r="C8" s="27">
        <f>C7*1000*C6</f>
        <v>26153.749999999996</v>
      </c>
      <c r="D8" s="100">
        <v>24840</v>
      </c>
      <c r="E8" s="101">
        <v>23790</v>
      </c>
      <c r="F8" s="102">
        <v>21000</v>
      </c>
      <c r="G8" s="32"/>
      <c r="H8" s="32"/>
    </row>
    <row r="9" spans="1:10" x14ac:dyDescent="0.2">
      <c r="A9" s="112" t="s">
        <v>17</v>
      </c>
      <c r="B9" s="59">
        <v>0.26</v>
      </c>
      <c r="C9" s="118">
        <f>C8*B9</f>
        <v>6799.9749999999995</v>
      </c>
      <c r="D9" s="67">
        <f>D$8*$B9</f>
        <v>6458.4000000000005</v>
      </c>
      <c r="E9" s="67">
        <f t="shared" ref="E9:F10" si="1">E$8*$B9</f>
        <v>6185.4000000000005</v>
      </c>
      <c r="F9" s="79">
        <f t="shared" si="1"/>
        <v>5460</v>
      </c>
      <c r="G9" s="32"/>
      <c r="H9" s="32"/>
    </row>
    <row r="10" spans="1:10" x14ac:dyDescent="0.2">
      <c r="A10" s="112" t="s">
        <v>65</v>
      </c>
      <c r="B10" s="59">
        <v>0.1</v>
      </c>
      <c r="C10" s="118">
        <f>C8*B10</f>
        <v>2615.375</v>
      </c>
      <c r="D10" s="67">
        <f>D$8*$B10</f>
        <v>2484</v>
      </c>
      <c r="E10" s="67">
        <f t="shared" si="1"/>
        <v>2379</v>
      </c>
      <c r="F10" s="79">
        <f t="shared" si="1"/>
        <v>2100</v>
      </c>
      <c r="G10" s="32"/>
      <c r="H10" s="32"/>
    </row>
    <row r="11" spans="1:10" x14ac:dyDescent="0.2">
      <c r="A11" s="121" t="s">
        <v>18</v>
      </c>
      <c r="B11" s="121"/>
      <c r="C11" s="122">
        <f>C8-(C9+C10)</f>
        <v>16738.399999999998</v>
      </c>
      <c r="D11" s="124">
        <f>D8-D9-D10</f>
        <v>15897.599999999999</v>
      </c>
      <c r="E11" s="124">
        <f t="shared" ref="E11:F11" si="2">E8-E9-E10</f>
        <v>15225.599999999999</v>
      </c>
      <c r="F11" s="125">
        <f t="shared" si="2"/>
        <v>13440</v>
      </c>
      <c r="G11" s="32"/>
      <c r="H11" s="32"/>
    </row>
    <row r="12" spans="1:10" x14ac:dyDescent="0.2">
      <c r="C12" s="115"/>
      <c r="D12" s="63"/>
      <c r="E12" s="77"/>
      <c r="F12" s="65"/>
    </row>
    <row r="13" spans="1:10" x14ac:dyDescent="0.2">
      <c r="A13" s="31" t="s">
        <v>69</v>
      </c>
      <c r="C13" s="115"/>
      <c r="D13" s="135">
        <f>D6/C6</f>
        <v>0.99725660756105716</v>
      </c>
      <c r="E13" s="136">
        <f>E6/C6</f>
        <v>0.93944463031114089</v>
      </c>
      <c r="F13" s="138">
        <f>F6/C6</f>
        <v>0.84309133489461363</v>
      </c>
    </row>
    <row r="14" spans="1:10" x14ac:dyDescent="0.2">
      <c r="A14" s="31" t="s">
        <v>57</v>
      </c>
      <c r="C14" s="29"/>
      <c r="D14" s="68">
        <v>23</v>
      </c>
      <c r="E14" s="80">
        <v>24</v>
      </c>
      <c r="F14" s="69">
        <v>19</v>
      </c>
      <c r="G14" s="130"/>
    </row>
    <row r="15" spans="1:10" x14ac:dyDescent="0.2">
      <c r="A15" s="31" t="s">
        <v>68</v>
      </c>
      <c r="C15" s="29"/>
      <c r="D15" s="68">
        <v>360</v>
      </c>
      <c r="E15" s="80">
        <v>325</v>
      </c>
      <c r="F15" s="69">
        <v>365</v>
      </c>
    </row>
    <row r="16" spans="1:10" x14ac:dyDescent="0.2">
      <c r="A16" s="31" t="s">
        <v>35</v>
      </c>
      <c r="C16" s="29"/>
      <c r="D16" s="68" t="s">
        <v>72</v>
      </c>
      <c r="E16" s="80" t="s">
        <v>84</v>
      </c>
      <c r="F16" s="69" t="s">
        <v>89</v>
      </c>
    </row>
    <row r="17" spans="1:7" x14ac:dyDescent="0.2">
      <c r="A17" s="31" t="s">
        <v>44</v>
      </c>
      <c r="C17" s="29"/>
      <c r="D17" s="68" t="s">
        <v>70</v>
      </c>
      <c r="E17" s="80" t="s">
        <v>70</v>
      </c>
      <c r="F17" s="69" t="s">
        <v>70</v>
      </c>
    </row>
    <row r="18" spans="1:7" x14ac:dyDescent="0.2">
      <c r="A18" s="31" t="s">
        <v>20</v>
      </c>
      <c r="C18" s="29"/>
      <c r="D18" s="68" t="s">
        <v>71</v>
      </c>
      <c r="E18" s="80" t="s">
        <v>82</v>
      </c>
      <c r="F18" s="69" t="s">
        <v>88</v>
      </c>
    </row>
    <row r="19" spans="1:7" x14ac:dyDescent="0.2">
      <c r="A19" s="31" t="s">
        <v>83</v>
      </c>
      <c r="C19" s="29"/>
      <c r="D19" s="126">
        <v>0.19900000000000001</v>
      </c>
      <c r="E19" s="127">
        <v>0.19400000000000001</v>
      </c>
      <c r="F19" s="139">
        <v>0.184</v>
      </c>
    </row>
    <row r="20" spans="1:7" x14ac:dyDescent="0.2">
      <c r="A20" s="31" t="s">
        <v>74</v>
      </c>
      <c r="C20" s="29"/>
      <c r="D20" s="68" t="s">
        <v>73</v>
      </c>
      <c r="E20" s="80" t="s">
        <v>85</v>
      </c>
      <c r="F20" s="69" t="s">
        <v>73</v>
      </c>
    </row>
    <row r="21" spans="1:7" ht="25.5" x14ac:dyDescent="0.2">
      <c r="A21" s="31" t="s">
        <v>79</v>
      </c>
      <c r="C21" s="29"/>
      <c r="D21" s="68" t="s">
        <v>80</v>
      </c>
      <c r="E21" s="80" t="s">
        <v>81</v>
      </c>
      <c r="F21" s="80" t="s">
        <v>80</v>
      </c>
    </row>
    <row r="22" spans="1:7" x14ac:dyDescent="0.2">
      <c r="A22" s="31" t="s">
        <v>75</v>
      </c>
      <c r="C22" s="29"/>
      <c r="D22" s="68">
        <v>1</v>
      </c>
      <c r="E22" s="80">
        <v>24</v>
      </c>
      <c r="F22" s="69">
        <v>1</v>
      </c>
    </row>
    <row r="23" spans="1:7" ht="15" customHeight="1" x14ac:dyDescent="0.25">
      <c r="A23" s="112" t="s">
        <v>61</v>
      </c>
      <c r="B23" s="112"/>
      <c r="C23" s="113"/>
      <c r="D23" s="133">
        <f>D26/D14</f>
        <v>471.43478260869563</v>
      </c>
      <c r="E23" s="134">
        <f>E26/E14</f>
        <v>406.25</v>
      </c>
      <c r="F23" s="141">
        <f>F26/F14</f>
        <v>478.94736842105266</v>
      </c>
      <c r="G23" s="106"/>
    </row>
    <row r="24" spans="1:7" ht="15" x14ac:dyDescent="0.25">
      <c r="C24" s="29"/>
      <c r="D24" s="70"/>
      <c r="E24" s="81"/>
      <c r="F24" s="71"/>
      <c r="G24" s="25"/>
    </row>
    <row r="25" spans="1:7" ht="15" customHeight="1" x14ac:dyDescent="0.25">
      <c r="A25" s="150" t="s">
        <v>91</v>
      </c>
      <c r="B25" s="34"/>
      <c r="C25" s="28"/>
      <c r="D25" s="159">
        <v>14153</v>
      </c>
      <c r="E25" s="160">
        <v>13335</v>
      </c>
      <c r="F25" s="161">
        <v>11965</v>
      </c>
      <c r="G25" s="33"/>
    </row>
    <row r="26" spans="1:7" ht="15" customHeight="1" x14ac:dyDescent="0.2">
      <c r="A26" s="150" t="s">
        <v>92</v>
      </c>
      <c r="C26" s="29"/>
      <c r="D26" s="129">
        <v>10843</v>
      </c>
      <c r="E26" s="129">
        <v>9750</v>
      </c>
      <c r="F26" s="140">
        <v>9100</v>
      </c>
      <c r="G26" s="33"/>
    </row>
    <row r="27" spans="1:7" ht="15" customHeight="1" x14ac:dyDescent="0.2">
      <c r="A27" s="131" t="s">
        <v>21</v>
      </c>
      <c r="B27" s="115"/>
      <c r="C27" s="29"/>
      <c r="D27" s="148">
        <f>D26*0.0025</f>
        <v>27.107500000000002</v>
      </c>
      <c r="E27" s="149">
        <f>E26*0.0025</f>
        <v>24.375</v>
      </c>
      <c r="F27" s="149">
        <f>F26*0.0025</f>
        <v>22.75</v>
      </c>
      <c r="G27" s="33"/>
    </row>
    <row r="28" spans="1:7" x14ac:dyDescent="0.2">
      <c r="A28" s="31" t="s">
        <v>22</v>
      </c>
      <c r="C28" s="29"/>
      <c r="D28" s="142">
        <f>D26*25</f>
        <v>271075</v>
      </c>
      <c r="E28" s="143">
        <f>E26*25</f>
        <v>243750</v>
      </c>
      <c r="F28" s="144">
        <f>F26*25</f>
        <v>227500</v>
      </c>
    </row>
    <row r="29" spans="1:7" x14ac:dyDescent="0.2">
      <c r="A29" s="31" t="s">
        <v>98</v>
      </c>
      <c r="C29" s="29"/>
      <c r="D29" s="72">
        <v>1.8E-3</v>
      </c>
      <c r="E29" s="82">
        <v>1.8E-3</v>
      </c>
      <c r="F29" s="73">
        <v>1.8E-3</v>
      </c>
    </row>
    <row r="30" spans="1:7" x14ac:dyDescent="0.2">
      <c r="A30" s="31" t="s">
        <v>99</v>
      </c>
      <c r="C30" s="29"/>
      <c r="D30" s="145">
        <v>264732</v>
      </c>
      <c r="E30" s="145">
        <v>238046</v>
      </c>
      <c r="F30" s="146">
        <v>222176</v>
      </c>
    </row>
    <row r="31" spans="1:7" x14ac:dyDescent="0.2">
      <c r="A31" s="31" t="s">
        <v>77</v>
      </c>
      <c r="C31" s="29"/>
      <c r="D31" s="126" t="s">
        <v>78</v>
      </c>
      <c r="E31" s="83" t="s">
        <v>78</v>
      </c>
      <c r="F31" s="74" t="s">
        <v>78</v>
      </c>
    </row>
    <row r="32" spans="1:7" x14ac:dyDescent="0.2">
      <c r="A32" s="31" t="s">
        <v>76</v>
      </c>
      <c r="C32" s="29"/>
      <c r="D32" s="126" t="s">
        <v>78</v>
      </c>
      <c r="E32" s="127" t="s">
        <v>78</v>
      </c>
      <c r="F32" s="69" t="s">
        <v>90</v>
      </c>
    </row>
    <row r="33" spans="1:6" x14ac:dyDescent="0.2">
      <c r="A33" s="31" t="s">
        <v>86</v>
      </c>
      <c r="C33" s="29"/>
      <c r="D33" s="68" t="s">
        <v>87</v>
      </c>
      <c r="E33" s="80" t="s">
        <v>78</v>
      </c>
      <c r="F33" s="69" t="s">
        <v>78</v>
      </c>
    </row>
    <row r="34" spans="1:6" x14ac:dyDescent="0.2">
      <c r="A34" s="31" t="s">
        <v>23</v>
      </c>
      <c r="C34" s="29"/>
      <c r="D34" s="68" t="s">
        <v>93</v>
      </c>
      <c r="E34" s="80" t="s">
        <v>94</v>
      </c>
      <c r="F34" s="69" t="s">
        <v>93</v>
      </c>
    </row>
    <row r="35" spans="1:6" x14ac:dyDescent="0.2">
      <c r="A35" s="87" t="s">
        <v>95</v>
      </c>
      <c r="B35" s="87"/>
      <c r="C35" s="88"/>
      <c r="D35" s="75" t="s">
        <v>94</v>
      </c>
      <c r="E35" s="84" t="s">
        <v>94</v>
      </c>
      <c r="F35" s="76" t="s">
        <v>93</v>
      </c>
    </row>
    <row r="36" spans="1:6" x14ac:dyDescent="0.2">
      <c r="D36" s="64"/>
      <c r="E36" s="64"/>
      <c r="F36" s="64"/>
    </row>
    <row r="37" spans="1:6" x14ac:dyDescent="0.2">
      <c r="D37" s="105"/>
      <c r="E37" s="105"/>
      <c r="F37" s="105"/>
    </row>
    <row r="38" spans="1:6" x14ac:dyDescent="0.2">
      <c r="D38" s="105"/>
      <c r="E38" s="105"/>
      <c r="F38" s="105"/>
    </row>
  </sheetData>
  <mergeCells count="2">
    <mergeCell ref="D4:F4"/>
    <mergeCell ref="A2:F2"/>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6"/>
  <sheetViews>
    <sheetView zoomScaleNormal="100" workbookViewId="0">
      <selection sqref="A1:C1"/>
    </sheetView>
  </sheetViews>
  <sheetFormatPr defaultRowHeight="12.75" x14ac:dyDescent="0.2"/>
  <cols>
    <col min="1" max="1" width="17.85546875" style="4" customWidth="1"/>
    <col min="2" max="2" width="3.140625" style="4" customWidth="1"/>
    <col min="3" max="3" width="11.140625" style="4" bestFit="1" customWidth="1"/>
    <col min="4" max="4" width="11.85546875" style="4" customWidth="1"/>
    <col min="5" max="5" width="10.5703125" style="4" customWidth="1"/>
    <col min="6" max="6" width="13.85546875" style="4" customWidth="1"/>
    <col min="7" max="7" width="11.140625" style="4" bestFit="1" customWidth="1"/>
    <col min="8" max="8" width="13" style="4" customWidth="1"/>
    <col min="9" max="9" width="15.42578125" style="4" customWidth="1"/>
    <col min="10" max="10" width="15.140625" style="4" customWidth="1"/>
    <col min="11" max="11" width="8.140625" style="4" customWidth="1"/>
    <col min="12" max="12" width="2.5703125" style="4" customWidth="1"/>
    <col min="13" max="13" width="17.85546875" style="4" customWidth="1"/>
    <col min="14" max="14" width="7.7109375" style="4" customWidth="1"/>
    <col min="15" max="16384" width="9.140625" style="4"/>
  </cols>
  <sheetData>
    <row r="1" spans="1:17" ht="56.25" customHeight="1" x14ac:dyDescent="0.2">
      <c r="A1" s="175" t="s">
        <v>33</v>
      </c>
      <c r="B1" s="175"/>
      <c r="C1" s="175"/>
    </row>
    <row r="2" spans="1:17" ht="48.75" customHeight="1" x14ac:dyDescent="0.2">
      <c r="A2" s="176" t="s">
        <v>111</v>
      </c>
      <c r="B2" s="176"/>
      <c r="C2" s="176"/>
      <c r="D2" s="176"/>
      <c r="E2" s="176"/>
      <c r="F2" s="176"/>
      <c r="G2" s="176"/>
      <c r="J2" s="38"/>
      <c r="K2" s="38"/>
      <c r="L2" s="38"/>
      <c r="M2" s="38"/>
      <c r="N2" s="38"/>
    </row>
    <row r="3" spans="1:17" x14ac:dyDescent="0.2">
      <c r="J3" s="39"/>
      <c r="K3" s="38"/>
      <c r="L3" s="38"/>
      <c r="M3" s="38"/>
      <c r="N3" s="38"/>
    </row>
    <row r="4" spans="1:17" ht="25.5" x14ac:dyDescent="0.2">
      <c r="A4" s="4" t="s">
        <v>3</v>
      </c>
      <c r="D4" s="6">
        <f>'Comparison of costs per vendor'!E8</f>
        <v>23790</v>
      </c>
      <c r="E4" s="47" t="s">
        <v>36</v>
      </c>
      <c r="G4" s="7" t="s">
        <v>36</v>
      </c>
      <c r="J4" s="38"/>
      <c r="K4" s="38"/>
      <c r="L4" s="38"/>
      <c r="M4" s="38"/>
      <c r="N4" s="38"/>
    </row>
    <row r="5" spans="1:17" ht="25.5" x14ac:dyDescent="0.2">
      <c r="C5" s="47" t="s">
        <v>104</v>
      </c>
      <c r="D5" s="154">
        <f>D4-(D4*'Comparison of costs per vendor'!B9)</f>
        <v>17604.599999999999</v>
      </c>
      <c r="E5" s="47"/>
      <c r="G5" s="7"/>
      <c r="J5" s="38"/>
      <c r="K5" s="38"/>
      <c r="L5" s="38"/>
      <c r="M5" s="38"/>
      <c r="N5" s="38"/>
    </row>
    <row r="6" spans="1:17" ht="25.5" x14ac:dyDescent="0.2">
      <c r="C6" s="104" t="s">
        <v>105</v>
      </c>
      <c r="D6" s="158">
        <f>D5-(D4*'Comparison of costs per vendor'!B10)</f>
        <v>15225.599999999999</v>
      </c>
      <c r="E6" s="114" t="s">
        <v>103</v>
      </c>
      <c r="G6" s="7"/>
      <c r="J6" s="38"/>
      <c r="K6" s="38"/>
      <c r="L6" s="38"/>
      <c r="M6" s="38"/>
      <c r="N6" s="38"/>
    </row>
    <row r="7" spans="1:17" x14ac:dyDescent="0.2">
      <c r="A7" s="4" t="s">
        <v>2</v>
      </c>
      <c r="D7" s="42">
        <f>'Comparison of costs per vendor'!E26</f>
        <v>9750</v>
      </c>
      <c r="E7" s="8" t="s">
        <v>8</v>
      </c>
      <c r="J7" s="38"/>
      <c r="K7" s="38"/>
      <c r="L7" s="38"/>
      <c r="M7" s="38"/>
      <c r="N7" s="38"/>
      <c r="P7" s="3"/>
    </row>
    <row r="8" spans="1:17" x14ac:dyDescent="0.2">
      <c r="A8" s="4" t="s">
        <v>0</v>
      </c>
      <c r="D8" s="156">
        <v>2.5000000000000001E-3</v>
      </c>
      <c r="E8" s="9"/>
      <c r="J8" s="38"/>
      <c r="K8" s="38"/>
      <c r="L8" s="38"/>
      <c r="M8" s="38"/>
      <c r="N8" s="38"/>
      <c r="Q8" s="5"/>
    </row>
    <row r="9" spans="1:17" ht="27" customHeight="1" x14ac:dyDescent="0.2">
      <c r="A9" s="4" t="s">
        <v>4</v>
      </c>
      <c r="D9" s="43">
        <f>'System sizing'!G18</f>
        <v>0.12000000000000004</v>
      </c>
      <c r="E9" s="47" t="s">
        <v>106</v>
      </c>
      <c r="J9" s="40"/>
      <c r="K9" s="41"/>
      <c r="L9" s="38"/>
      <c r="M9" s="40"/>
      <c r="N9" s="41"/>
      <c r="Q9" s="5"/>
    </row>
    <row r="10" spans="1:17" ht="25.5" x14ac:dyDescent="0.2">
      <c r="A10" s="4" t="s">
        <v>15</v>
      </c>
      <c r="D10" s="155">
        <v>2.4E-2</v>
      </c>
      <c r="J10" s="38"/>
      <c r="K10" s="41"/>
      <c r="L10" s="38"/>
      <c r="M10" s="38"/>
      <c r="N10" s="41"/>
      <c r="Q10" s="5"/>
    </row>
    <row r="11" spans="1:17" ht="25.5" x14ac:dyDescent="0.2">
      <c r="A11" s="8" t="s">
        <v>9</v>
      </c>
      <c r="D11" s="45">
        <v>10000</v>
      </c>
      <c r="E11" s="47" t="s">
        <v>36</v>
      </c>
      <c r="J11" s="38"/>
      <c r="K11" s="41"/>
      <c r="L11" s="38"/>
      <c r="M11" s="38"/>
      <c r="N11" s="41"/>
    </row>
    <row r="12" spans="1:17" x14ac:dyDescent="0.2">
      <c r="A12" s="8" t="s">
        <v>5</v>
      </c>
      <c r="D12" s="44">
        <v>0.06</v>
      </c>
    </row>
    <row r="13" spans="1:17" x14ac:dyDescent="0.2">
      <c r="A13" s="47" t="s">
        <v>107</v>
      </c>
      <c r="D13" s="46">
        <v>15</v>
      </c>
    </row>
    <row r="14" spans="1:17" x14ac:dyDescent="0.2">
      <c r="A14" s="8" t="s">
        <v>6</v>
      </c>
      <c r="D14" s="10">
        <f>PMT(D12,D13,D11)</f>
        <v>-1029.627639553127</v>
      </c>
      <c r="E14" s="10">
        <f>D14/12</f>
        <v>-85.80230329609391</v>
      </c>
      <c r="F14" s="4" t="s">
        <v>14</v>
      </c>
    </row>
    <row r="15" spans="1:17" x14ac:dyDescent="0.2">
      <c r="A15" s="8"/>
      <c r="D15" s="11"/>
    </row>
    <row r="16" spans="1:17" ht="36" customHeight="1" x14ac:dyDescent="0.2">
      <c r="A16" s="1" t="s">
        <v>1</v>
      </c>
      <c r="B16" s="1"/>
      <c r="C16" s="1" t="s">
        <v>10</v>
      </c>
      <c r="D16" s="1" t="s">
        <v>108</v>
      </c>
      <c r="E16" s="1" t="s">
        <v>7</v>
      </c>
      <c r="F16" s="1" t="s">
        <v>11</v>
      </c>
      <c r="G16" s="1" t="s">
        <v>12</v>
      </c>
      <c r="H16" s="1" t="s">
        <v>13</v>
      </c>
      <c r="I16" s="1" t="s">
        <v>109</v>
      </c>
      <c r="J16" s="1" t="s">
        <v>110</v>
      </c>
    </row>
    <row r="17" spans="1:13" x14ac:dyDescent="0.2">
      <c r="A17" s="4">
        <v>1</v>
      </c>
      <c r="C17" s="12">
        <v>1</v>
      </c>
      <c r="D17" s="13">
        <f>C17*$D$7</f>
        <v>9750</v>
      </c>
      <c r="E17" s="14">
        <f>D9</f>
        <v>0.12000000000000004</v>
      </c>
      <c r="F17" s="15">
        <f>D17*E17</f>
        <v>1170.0000000000005</v>
      </c>
      <c r="G17" s="15">
        <f>D17*$D$8</f>
        <v>24.375</v>
      </c>
      <c r="H17" s="10">
        <f>IF(A17&lt;=$D$13,$D$14,0)</f>
        <v>-1029.627639553127</v>
      </c>
      <c r="I17" s="10">
        <f>F17+G17+H17</f>
        <v>164.74736044687347</v>
      </c>
      <c r="J17" s="10">
        <f>I17-(D6-D11)</f>
        <v>-5060.8526395531253</v>
      </c>
      <c r="K17" s="10"/>
      <c r="L17" s="10"/>
    </row>
    <row r="18" spans="1:13" x14ac:dyDescent="0.2">
      <c r="A18" s="4">
        <v>2</v>
      </c>
      <c r="C18" s="12">
        <f t="shared" ref="C18:C46" si="0">C17-0.0075</f>
        <v>0.99250000000000005</v>
      </c>
      <c r="D18" s="13">
        <f>C18*$D$7</f>
        <v>9676.875</v>
      </c>
      <c r="E18" s="14">
        <f>E17*(1+$D$10)</f>
        <v>0.12288000000000004</v>
      </c>
      <c r="F18" s="15">
        <f>D18*E18</f>
        <v>1189.0944000000004</v>
      </c>
      <c r="G18" s="15">
        <f>D18*$D$8</f>
        <v>24.192187499999999</v>
      </c>
      <c r="H18" s="10">
        <f t="shared" ref="H18:H41" si="1">IF(A18&lt;=$D$13,$D$14,0)</f>
        <v>-1029.627639553127</v>
      </c>
      <c r="I18" s="10">
        <f t="shared" ref="I18:I41" si="2">F18+G18+H18</f>
        <v>183.65894794687347</v>
      </c>
      <c r="J18" s="10">
        <f>J17+I18</f>
        <v>-4877.1936916062514</v>
      </c>
      <c r="K18" s="10"/>
      <c r="L18" s="10"/>
      <c r="M18" s="14"/>
    </row>
    <row r="19" spans="1:13" x14ac:dyDescent="0.2">
      <c r="A19" s="4">
        <v>3</v>
      </c>
      <c r="C19" s="12">
        <f t="shared" si="0"/>
        <v>0.9850000000000001</v>
      </c>
      <c r="D19" s="13">
        <f>C19*$D$7</f>
        <v>9603.7500000000018</v>
      </c>
      <c r="E19" s="14">
        <f t="shared" ref="E19:E46" si="3">E18*(1+$D$10)</f>
        <v>0.12582912000000004</v>
      </c>
      <c r="F19" s="15">
        <f>D19*E19</f>
        <v>1208.4314112000006</v>
      </c>
      <c r="G19" s="15">
        <f>D19*$D$8</f>
        <v>24.009375000000006</v>
      </c>
      <c r="H19" s="10">
        <f t="shared" si="1"/>
        <v>-1029.627639553127</v>
      </c>
      <c r="I19" s="10">
        <f t="shared" si="2"/>
        <v>202.81314664687375</v>
      </c>
      <c r="J19" s="10">
        <f>J18+I19</f>
        <v>-4674.3805449593774</v>
      </c>
      <c r="K19" s="10"/>
      <c r="L19" s="10"/>
    </row>
    <row r="20" spans="1:13" x14ac:dyDescent="0.2">
      <c r="A20" s="4">
        <v>4</v>
      </c>
      <c r="C20" s="12">
        <f t="shared" si="0"/>
        <v>0.97750000000000015</v>
      </c>
      <c r="D20" s="13">
        <f>C20*$D$7</f>
        <v>9530.6250000000018</v>
      </c>
      <c r="E20" s="14">
        <f t="shared" si="3"/>
        <v>0.12884901888000005</v>
      </c>
      <c r="F20" s="15">
        <f t="shared" ref="F20:F41" si="4">D20*E20</f>
        <v>1228.0116805632008</v>
      </c>
      <c r="G20" s="15">
        <f t="shared" ref="G20:G41" si="5">D20*$D$8</f>
        <v>23.826562500000005</v>
      </c>
      <c r="H20" s="10">
        <f t="shared" si="1"/>
        <v>-1029.627639553127</v>
      </c>
      <c r="I20" s="10">
        <f t="shared" si="2"/>
        <v>222.21060351007372</v>
      </c>
      <c r="J20" s="10">
        <f t="shared" ref="J20:J41" si="6">J19+I20</f>
        <v>-4452.1699414493032</v>
      </c>
      <c r="K20" s="10"/>
      <c r="L20" s="10"/>
    </row>
    <row r="21" spans="1:13" x14ac:dyDescent="0.2">
      <c r="A21" s="4">
        <v>5</v>
      </c>
      <c r="C21" s="12">
        <f t="shared" si="0"/>
        <v>0.9700000000000002</v>
      </c>
      <c r="D21" s="13">
        <f>C21*$D$7</f>
        <v>9457.5000000000018</v>
      </c>
      <c r="E21" s="14">
        <f t="shared" si="3"/>
        <v>0.13194139533312005</v>
      </c>
      <c r="F21" s="15">
        <f t="shared" si="4"/>
        <v>1247.8357463629832</v>
      </c>
      <c r="G21" s="15">
        <f t="shared" si="5"/>
        <v>23.643750000000004</v>
      </c>
      <c r="H21" s="10">
        <f t="shared" si="1"/>
        <v>-1029.627639553127</v>
      </c>
      <c r="I21" s="10">
        <f>F21+G21+H21</f>
        <v>241.85185680985614</v>
      </c>
      <c r="J21" s="10">
        <f t="shared" si="6"/>
        <v>-4210.3180846394471</v>
      </c>
      <c r="K21" s="10"/>
      <c r="L21" s="10"/>
    </row>
    <row r="22" spans="1:13" x14ac:dyDescent="0.2">
      <c r="A22" s="4">
        <v>6</v>
      </c>
      <c r="C22" s="12">
        <f t="shared" si="0"/>
        <v>0.96250000000000024</v>
      </c>
      <c r="D22" s="13">
        <f t="shared" ref="D22:D41" si="7">C22*$D$7</f>
        <v>9384.3750000000018</v>
      </c>
      <c r="E22" s="14">
        <f t="shared" si="3"/>
        <v>0.13510798882111494</v>
      </c>
      <c r="F22" s="15">
        <f t="shared" si="4"/>
        <v>1267.9040325931508</v>
      </c>
      <c r="G22" s="15">
        <f t="shared" si="5"/>
        <v>23.460937500000004</v>
      </c>
      <c r="H22" s="10">
        <f t="shared" si="1"/>
        <v>-1029.627639553127</v>
      </c>
      <c r="I22" s="10">
        <f t="shared" si="2"/>
        <v>261.73733054002378</v>
      </c>
      <c r="J22" s="10">
        <f>J21+I22</f>
        <v>-3948.5807540994233</v>
      </c>
      <c r="K22" s="10"/>
      <c r="L22" s="10"/>
    </row>
    <row r="23" spans="1:13" x14ac:dyDescent="0.2">
      <c r="A23" s="4">
        <v>7</v>
      </c>
      <c r="C23" s="12">
        <f t="shared" si="0"/>
        <v>0.95500000000000029</v>
      </c>
      <c r="D23" s="13">
        <f t="shared" si="7"/>
        <v>9311.2500000000036</v>
      </c>
      <c r="E23" s="14">
        <f t="shared" si="3"/>
        <v>0.13835058055282171</v>
      </c>
      <c r="F23" s="15">
        <f t="shared" si="4"/>
        <v>1288.2168431724617</v>
      </c>
      <c r="G23" s="15">
        <f t="shared" si="5"/>
        <v>23.27812500000001</v>
      </c>
      <c r="H23" s="10">
        <f t="shared" si="1"/>
        <v>-1029.627639553127</v>
      </c>
      <c r="I23" s="10">
        <f t="shared" si="2"/>
        <v>281.86732861933478</v>
      </c>
      <c r="J23" s="10">
        <f t="shared" si="6"/>
        <v>-3666.7134254800885</v>
      </c>
      <c r="K23" s="10"/>
      <c r="L23" s="10"/>
    </row>
    <row r="24" spans="1:13" x14ac:dyDescent="0.2">
      <c r="A24" s="4">
        <v>8</v>
      </c>
      <c r="C24" s="12">
        <f t="shared" si="0"/>
        <v>0.94750000000000034</v>
      </c>
      <c r="D24" s="13">
        <f t="shared" si="7"/>
        <v>9238.1250000000036</v>
      </c>
      <c r="E24" s="14">
        <f t="shared" si="3"/>
        <v>0.14167099448608944</v>
      </c>
      <c r="F24" s="15">
        <f t="shared" si="4"/>
        <v>1308.7743559368055</v>
      </c>
      <c r="G24" s="15">
        <f t="shared" si="5"/>
        <v>23.095312500000009</v>
      </c>
      <c r="H24" s="10">
        <f t="shared" si="1"/>
        <v>-1029.627639553127</v>
      </c>
      <c r="I24" s="10">
        <f t="shared" si="2"/>
        <v>302.24202888367859</v>
      </c>
      <c r="J24" s="10">
        <f t="shared" si="6"/>
        <v>-3364.4713965964102</v>
      </c>
      <c r="K24" s="10"/>
      <c r="L24" s="10"/>
    </row>
    <row r="25" spans="1:13" x14ac:dyDescent="0.2">
      <c r="A25" s="4">
        <v>9</v>
      </c>
      <c r="C25" s="12">
        <f t="shared" si="0"/>
        <v>0.94000000000000039</v>
      </c>
      <c r="D25" s="13">
        <f t="shared" si="7"/>
        <v>9165.0000000000036</v>
      </c>
      <c r="E25" s="14">
        <f t="shared" si="3"/>
        <v>0.14507109835375559</v>
      </c>
      <c r="F25" s="15">
        <f t="shared" si="4"/>
        <v>1329.5766164121706</v>
      </c>
      <c r="G25" s="15">
        <f t="shared" si="5"/>
        <v>22.912500000000009</v>
      </c>
      <c r="H25" s="10">
        <f t="shared" si="1"/>
        <v>-1029.627639553127</v>
      </c>
      <c r="I25" s="10">
        <f t="shared" si="2"/>
        <v>322.86147685904348</v>
      </c>
      <c r="J25" s="10">
        <f t="shared" si="6"/>
        <v>-3041.6099197373669</v>
      </c>
      <c r="K25" s="10"/>
      <c r="L25" s="10"/>
    </row>
    <row r="26" spans="1:13" x14ac:dyDescent="0.2">
      <c r="A26" s="4">
        <v>10</v>
      </c>
      <c r="C26" s="12">
        <f t="shared" si="0"/>
        <v>0.93250000000000044</v>
      </c>
      <c r="D26" s="13">
        <f t="shared" si="7"/>
        <v>9091.8750000000036</v>
      </c>
      <c r="E26" s="14">
        <f t="shared" si="3"/>
        <v>0.14855280471424573</v>
      </c>
      <c r="F26" s="15">
        <f t="shared" si="4"/>
        <v>1350.6235313613333</v>
      </c>
      <c r="G26" s="15">
        <f t="shared" si="5"/>
        <v>22.729687500000008</v>
      </c>
      <c r="H26" s="10">
        <f t="shared" si="1"/>
        <v>-1029.627639553127</v>
      </c>
      <c r="I26" s="10">
        <f t="shared" si="2"/>
        <v>343.72557930820631</v>
      </c>
      <c r="J26" s="10">
        <f t="shared" si="6"/>
        <v>-2697.8843404291606</v>
      </c>
      <c r="K26" s="10"/>
      <c r="L26" s="10"/>
    </row>
    <row r="27" spans="1:13" x14ac:dyDescent="0.2">
      <c r="A27" s="4">
        <v>11</v>
      </c>
      <c r="C27" s="12">
        <f t="shared" si="0"/>
        <v>0.92500000000000049</v>
      </c>
      <c r="D27" s="13">
        <f t="shared" si="7"/>
        <v>9018.7500000000055</v>
      </c>
      <c r="E27" s="14">
        <f t="shared" si="3"/>
        <v>0.15211807202738764</v>
      </c>
      <c r="F27" s="15">
        <f t="shared" si="4"/>
        <v>1371.9148620970032</v>
      </c>
      <c r="G27" s="15">
        <f t="shared" si="5"/>
        <v>22.546875000000014</v>
      </c>
      <c r="H27" s="10">
        <f t="shared" si="1"/>
        <v>-1029.627639553127</v>
      </c>
      <c r="I27" s="10">
        <f t="shared" si="2"/>
        <v>364.83409754387617</v>
      </c>
      <c r="J27" s="10">
        <f t="shared" si="6"/>
        <v>-2333.0502428852842</v>
      </c>
      <c r="K27" s="10"/>
      <c r="L27" s="10"/>
    </row>
    <row r="28" spans="1:13" x14ac:dyDescent="0.2">
      <c r="A28" s="4">
        <v>12</v>
      </c>
      <c r="C28" s="12">
        <f t="shared" si="0"/>
        <v>0.91750000000000054</v>
      </c>
      <c r="D28" s="13">
        <f t="shared" si="7"/>
        <v>8945.6250000000055</v>
      </c>
      <c r="E28" s="14">
        <f t="shared" si="3"/>
        <v>0.15576890575604493</v>
      </c>
      <c r="F28" s="15">
        <f t="shared" si="4"/>
        <v>1393.4502175539203</v>
      </c>
      <c r="G28" s="15">
        <f t="shared" si="5"/>
        <v>22.364062500000014</v>
      </c>
      <c r="H28" s="10">
        <f t="shared" si="1"/>
        <v>-1029.627639553127</v>
      </c>
      <c r="I28" s="10">
        <f t="shared" si="2"/>
        <v>386.18664050079337</v>
      </c>
      <c r="J28" s="10">
        <f t="shared" si="6"/>
        <v>-1946.8636023844908</v>
      </c>
      <c r="K28" s="10"/>
      <c r="L28" s="10"/>
    </row>
    <row r="29" spans="1:13" x14ac:dyDescent="0.2">
      <c r="A29" s="4">
        <v>13</v>
      </c>
      <c r="C29" s="12">
        <f t="shared" si="0"/>
        <v>0.91000000000000059</v>
      </c>
      <c r="D29" s="13">
        <f t="shared" si="7"/>
        <v>8872.5000000000055</v>
      </c>
      <c r="E29" s="14">
        <f t="shared" si="3"/>
        <v>0.15950735949419001</v>
      </c>
      <c r="F29" s="15">
        <f t="shared" si="4"/>
        <v>1415.2290471122017</v>
      </c>
      <c r="G29" s="15">
        <f t="shared" si="5"/>
        <v>22.181250000000013</v>
      </c>
      <c r="H29" s="10">
        <f t="shared" si="1"/>
        <v>-1029.627639553127</v>
      </c>
      <c r="I29" s="10">
        <f t="shared" si="2"/>
        <v>407.78265755907478</v>
      </c>
      <c r="J29" s="10">
        <f t="shared" si="6"/>
        <v>-1539.0809448254161</v>
      </c>
      <c r="K29" s="10"/>
      <c r="L29" s="10"/>
    </row>
    <row r="30" spans="1:13" x14ac:dyDescent="0.2">
      <c r="A30" s="4">
        <v>14</v>
      </c>
      <c r="C30" s="12">
        <f t="shared" si="0"/>
        <v>0.90250000000000064</v>
      </c>
      <c r="D30" s="13">
        <f t="shared" si="7"/>
        <v>8799.3750000000055</v>
      </c>
      <c r="E30" s="14">
        <f t="shared" si="3"/>
        <v>0.16333553612205057</v>
      </c>
      <c r="F30" s="15">
        <f t="shared" si="4"/>
        <v>1437.2506331639695</v>
      </c>
      <c r="G30" s="15">
        <f t="shared" si="5"/>
        <v>21.998437500000016</v>
      </c>
      <c r="H30" s="10">
        <f t="shared" si="1"/>
        <v>-1029.627639553127</v>
      </c>
      <c r="I30" s="10">
        <f t="shared" si="2"/>
        <v>429.62143111084242</v>
      </c>
      <c r="J30" s="10">
        <f t="shared" si="6"/>
        <v>-1109.4595137145736</v>
      </c>
      <c r="K30" s="10"/>
      <c r="L30" s="10"/>
    </row>
    <row r="31" spans="1:13" x14ac:dyDescent="0.2">
      <c r="A31" s="4">
        <v>15</v>
      </c>
      <c r="C31" s="12">
        <f t="shared" si="0"/>
        <v>0.89500000000000068</v>
      </c>
      <c r="D31" s="13">
        <f t="shared" si="7"/>
        <v>8726.2500000000073</v>
      </c>
      <c r="E31" s="14">
        <f t="shared" si="3"/>
        <v>0.1672555889889798</v>
      </c>
      <c r="F31" s="15">
        <f t="shared" si="4"/>
        <v>1459.5140834150861</v>
      </c>
      <c r="G31" s="15">
        <f t="shared" si="5"/>
        <v>21.815625000000018</v>
      </c>
      <c r="H31" s="10">
        <f t="shared" si="1"/>
        <v>-1029.627639553127</v>
      </c>
      <c r="I31" s="10">
        <f t="shared" si="2"/>
        <v>451.70206886195911</v>
      </c>
      <c r="J31" s="10">
        <f t="shared" si="6"/>
        <v>-657.75744485261453</v>
      </c>
      <c r="K31" s="10"/>
      <c r="L31" s="10"/>
    </row>
    <row r="32" spans="1:13" x14ac:dyDescent="0.2">
      <c r="A32" s="4">
        <v>16</v>
      </c>
      <c r="C32" s="12">
        <f t="shared" si="0"/>
        <v>0.88750000000000073</v>
      </c>
      <c r="D32" s="13">
        <f t="shared" si="7"/>
        <v>8653.1250000000073</v>
      </c>
      <c r="E32" s="14">
        <f t="shared" si="3"/>
        <v>0.17126972312471531</v>
      </c>
      <c r="F32" s="15">
        <f t="shared" si="4"/>
        <v>1482.0183229135534</v>
      </c>
      <c r="G32" s="15">
        <f t="shared" si="5"/>
        <v>21.632812500000018</v>
      </c>
      <c r="H32" s="10">
        <f t="shared" si="1"/>
        <v>0</v>
      </c>
      <c r="I32" s="10">
        <f t="shared" si="2"/>
        <v>1503.6511354135534</v>
      </c>
      <c r="J32" s="10">
        <f t="shared" si="6"/>
        <v>845.89369056093892</v>
      </c>
      <c r="K32" s="10"/>
      <c r="L32" s="10"/>
    </row>
    <row r="33" spans="1:12" x14ac:dyDescent="0.2">
      <c r="A33" s="4">
        <v>17</v>
      </c>
      <c r="C33" s="12">
        <f t="shared" si="0"/>
        <v>0.88000000000000078</v>
      </c>
      <c r="D33" s="13">
        <f t="shared" si="7"/>
        <v>8580.0000000000073</v>
      </c>
      <c r="E33" s="14">
        <f t="shared" si="3"/>
        <v>0.17538019647970848</v>
      </c>
      <c r="F33" s="15">
        <f t="shared" si="4"/>
        <v>1504.7620857959</v>
      </c>
      <c r="G33" s="15">
        <f t="shared" si="5"/>
        <v>21.450000000000017</v>
      </c>
      <c r="H33" s="10">
        <f t="shared" si="1"/>
        <v>0</v>
      </c>
      <c r="I33" s="10">
        <f t="shared" si="2"/>
        <v>1526.2120857959001</v>
      </c>
      <c r="J33" s="10">
        <f t="shared" si="6"/>
        <v>2372.1057763568388</v>
      </c>
      <c r="K33" s="10"/>
      <c r="L33" s="10"/>
    </row>
    <row r="34" spans="1:12" x14ac:dyDescent="0.2">
      <c r="A34" s="4">
        <v>18</v>
      </c>
      <c r="C34" s="12">
        <f t="shared" si="0"/>
        <v>0.87250000000000083</v>
      </c>
      <c r="D34" s="13">
        <f t="shared" si="7"/>
        <v>8506.8750000000073</v>
      </c>
      <c r="E34" s="14">
        <f t="shared" si="3"/>
        <v>0.1795893211952215</v>
      </c>
      <c r="F34" s="15">
        <f t="shared" si="4"/>
        <v>1527.7439067426012</v>
      </c>
      <c r="G34" s="15">
        <f t="shared" si="5"/>
        <v>21.26718750000002</v>
      </c>
      <c r="H34" s="10">
        <f t="shared" si="1"/>
        <v>0</v>
      </c>
      <c r="I34" s="10">
        <f t="shared" si="2"/>
        <v>1549.0110942426013</v>
      </c>
      <c r="J34" s="10">
        <f t="shared" si="6"/>
        <v>3921.1168705994401</v>
      </c>
      <c r="K34" s="10"/>
      <c r="L34" s="10"/>
    </row>
    <row r="35" spans="1:12" x14ac:dyDescent="0.2">
      <c r="A35" s="4">
        <v>19</v>
      </c>
      <c r="C35" s="12">
        <f t="shared" si="0"/>
        <v>0.86500000000000088</v>
      </c>
      <c r="D35" s="13">
        <f t="shared" si="7"/>
        <v>8433.7500000000091</v>
      </c>
      <c r="E35" s="14">
        <f t="shared" si="3"/>
        <v>0.18389946490390682</v>
      </c>
      <c r="F35" s="15">
        <f t="shared" si="4"/>
        <v>1550.9621121333259</v>
      </c>
      <c r="G35" s="15">
        <f t="shared" si="5"/>
        <v>21.084375000000023</v>
      </c>
      <c r="H35" s="10">
        <f t="shared" si="1"/>
        <v>0</v>
      </c>
      <c r="I35" s="10">
        <f t="shared" si="2"/>
        <v>1572.0464871333261</v>
      </c>
      <c r="J35" s="10">
        <f t="shared" si="6"/>
        <v>5493.1633577327666</v>
      </c>
      <c r="K35" s="10"/>
      <c r="L35" s="10"/>
    </row>
    <row r="36" spans="1:12" x14ac:dyDescent="0.2">
      <c r="A36" s="4">
        <v>20</v>
      </c>
      <c r="C36" s="12">
        <f t="shared" si="0"/>
        <v>0.85750000000000093</v>
      </c>
      <c r="D36" s="13">
        <f t="shared" si="7"/>
        <v>8360.6250000000091</v>
      </c>
      <c r="E36" s="14">
        <f t="shared" si="3"/>
        <v>0.18831305206160059</v>
      </c>
      <c r="F36" s="15">
        <f t="shared" si="4"/>
        <v>1574.4148108925212</v>
      </c>
      <c r="G36" s="15">
        <f t="shared" si="5"/>
        <v>20.901562500000022</v>
      </c>
      <c r="H36" s="10">
        <f t="shared" si="1"/>
        <v>0</v>
      </c>
      <c r="I36" s="10">
        <f t="shared" si="2"/>
        <v>1595.3163733925212</v>
      </c>
      <c r="J36" s="10">
        <f t="shared" si="6"/>
        <v>7088.4797311252878</v>
      </c>
      <c r="K36" s="10"/>
      <c r="L36" s="10"/>
    </row>
    <row r="37" spans="1:12" x14ac:dyDescent="0.2">
      <c r="A37" s="4">
        <v>21</v>
      </c>
      <c r="C37" s="12">
        <f t="shared" si="0"/>
        <v>0.85000000000000098</v>
      </c>
      <c r="D37" s="13">
        <f t="shared" si="7"/>
        <v>8287.5000000000091</v>
      </c>
      <c r="E37" s="14">
        <f t="shared" si="3"/>
        <v>0.19283256531107901</v>
      </c>
      <c r="F37" s="15">
        <f t="shared" si="4"/>
        <v>1598.099885015569</v>
      </c>
      <c r="G37" s="15">
        <f t="shared" si="5"/>
        <v>20.718750000000025</v>
      </c>
      <c r="H37" s="10">
        <f t="shared" si="1"/>
        <v>0</v>
      </c>
      <c r="I37" s="10">
        <f t="shared" si="2"/>
        <v>1618.818635015569</v>
      </c>
      <c r="J37" s="10">
        <f t="shared" si="6"/>
        <v>8707.2983661408562</v>
      </c>
      <c r="K37" s="10"/>
      <c r="L37" s="10"/>
    </row>
    <row r="38" spans="1:12" x14ac:dyDescent="0.2">
      <c r="A38" s="4">
        <v>22</v>
      </c>
      <c r="C38" s="12">
        <f t="shared" si="0"/>
        <v>0.84250000000000103</v>
      </c>
      <c r="D38" s="13">
        <f t="shared" si="7"/>
        <v>8214.3750000000091</v>
      </c>
      <c r="E38" s="14">
        <f t="shared" si="3"/>
        <v>0.19746054687854492</v>
      </c>
      <c r="F38" s="15">
        <f t="shared" si="4"/>
        <v>1622.0149797654492</v>
      </c>
      <c r="G38" s="15">
        <f t="shared" si="5"/>
        <v>20.535937500000024</v>
      </c>
      <c r="H38" s="10">
        <f t="shared" si="1"/>
        <v>0</v>
      </c>
      <c r="I38" s="10">
        <f t="shared" si="2"/>
        <v>1642.5509172654492</v>
      </c>
      <c r="J38" s="10">
        <f t="shared" si="6"/>
        <v>10349.849283406305</v>
      </c>
      <c r="K38" s="10"/>
      <c r="L38" s="10"/>
    </row>
    <row r="39" spans="1:12" x14ac:dyDescent="0.2">
      <c r="A39" s="4">
        <v>23</v>
      </c>
      <c r="C39" s="12">
        <f t="shared" si="0"/>
        <v>0.83500000000000107</v>
      </c>
      <c r="D39" s="13">
        <f t="shared" si="7"/>
        <v>8141.2500000000109</v>
      </c>
      <c r="E39" s="14">
        <f t="shared" si="3"/>
        <v>0.20219960000362999</v>
      </c>
      <c r="F39" s="15">
        <f t="shared" si="4"/>
        <v>1646.1574935295548</v>
      </c>
      <c r="G39" s="15">
        <f t="shared" si="5"/>
        <v>20.353125000000027</v>
      </c>
      <c r="H39" s="10">
        <f t="shared" si="1"/>
        <v>0</v>
      </c>
      <c r="I39" s="10">
        <f t="shared" si="2"/>
        <v>1666.5106185295549</v>
      </c>
      <c r="J39" s="10">
        <f t="shared" si="6"/>
        <v>12016.359901935861</v>
      </c>
      <c r="K39" s="10"/>
      <c r="L39" s="10"/>
    </row>
    <row r="40" spans="1:12" x14ac:dyDescent="0.2">
      <c r="A40" s="4">
        <v>24</v>
      </c>
      <c r="C40" s="12">
        <f t="shared" si="0"/>
        <v>0.82750000000000112</v>
      </c>
      <c r="D40" s="13">
        <f t="shared" si="7"/>
        <v>8068.1250000000109</v>
      </c>
      <c r="E40" s="14">
        <f t="shared" si="3"/>
        <v>0.20705239040371712</v>
      </c>
      <c r="F40" s="15">
        <f t="shared" si="4"/>
        <v>1670.5245673259924</v>
      </c>
      <c r="G40" s="15">
        <f t="shared" si="5"/>
        <v>20.170312500000026</v>
      </c>
      <c r="H40" s="10">
        <f t="shared" si="1"/>
        <v>0</v>
      </c>
      <c r="I40" s="10">
        <f t="shared" si="2"/>
        <v>1690.6948798259925</v>
      </c>
      <c r="J40" s="10">
        <f t="shared" si="6"/>
        <v>13707.054781761854</v>
      </c>
      <c r="K40" s="10"/>
      <c r="L40" s="10"/>
    </row>
    <row r="41" spans="1:12" x14ac:dyDescent="0.2">
      <c r="A41" s="4">
        <v>25</v>
      </c>
      <c r="C41" s="12">
        <f t="shared" si="0"/>
        <v>0.82000000000000117</v>
      </c>
      <c r="D41" s="13">
        <f t="shared" si="7"/>
        <v>7995.0000000000118</v>
      </c>
      <c r="E41" s="14">
        <f t="shared" si="3"/>
        <v>0.21202164777340635</v>
      </c>
      <c r="F41" s="15">
        <f t="shared" si="4"/>
        <v>1695.1130739483863</v>
      </c>
      <c r="G41" s="15">
        <f t="shared" si="5"/>
        <v>19.987500000000029</v>
      </c>
      <c r="H41" s="10">
        <f t="shared" si="1"/>
        <v>0</v>
      </c>
      <c r="I41" s="10">
        <f t="shared" si="2"/>
        <v>1715.1005739483862</v>
      </c>
      <c r="J41" s="10">
        <f t="shared" si="6"/>
        <v>15422.15535571024</v>
      </c>
      <c r="K41" s="10"/>
      <c r="L41" s="10"/>
    </row>
    <row r="42" spans="1:12" x14ac:dyDescent="0.2">
      <c r="A42" s="4">
        <v>26</v>
      </c>
      <c r="C42" s="12">
        <f t="shared" si="0"/>
        <v>0.81250000000000122</v>
      </c>
      <c r="D42" s="13">
        <f t="shared" ref="D42:D46" si="8">C42*$D$7</f>
        <v>7921.8750000000118</v>
      </c>
      <c r="E42" s="14">
        <f t="shared" si="3"/>
        <v>0.2171101673199681</v>
      </c>
      <c r="F42" s="15">
        <f t="shared" ref="F42:F46" si="9">D42*E42</f>
        <v>1719.9196067378748</v>
      </c>
      <c r="G42" s="15">
        <f t="shared" ref="G42:G46" si="10">D42*$D$8</f>
        <v>19.804687500000028</v>
      </c>
      <c r="H42" s="10">
        <f t="shared" ref="H42:H46" si="11">IF(A42&lt;=$D$13,$D$14,0)</f>
        <v>0</v>
      </c>
      <c r="I42" s="10">
        <f t="shared" ref="I42:I46" si="12">F42+G42+H42</f>
        <v>1739.7242942378748</v>
      </c>
      <c r="J42" s="10">
        <f t="shared" ref="J42:J46" si="13">J41+I42</f>
        <v>17161.879649948114</v>
      </c>
    </row>
    <row r="43" spans="1:12" x14ac:dyDescent="0.2">
      <c r="A43" s="4">
        <v>27</v>
      </c>
      <c r="C43" s="12">
        <f t="shared" si="0"/>
        <v>0.80500000000000127</v>
      </c>
      <c r="D43" s="13">
        <f t="shared" si="8"/>
        <v>7848.7500000000127</v>
      </c>
      <c r="E43" s="14">
        <f t="shared" si="3"/>
        <v>0.22232081133564735</v>
      </c>
      <c r="F43" s="15">
        <f t="shared" si="9"/>
        <v>1744.9404679706649</v>
      </c>
      <c r="G43" s="15">
        <f t="shared" si="10"/>
        <v>19.621875000000031</v>
      </c>
      <c r="H43" s="10">
        <f t="shared" si="11"/>
        <v>0</v>
      </c>
      <c r="I43" s="10">
        <f t="shared" si="12"/>
        <v>1764.562342970665</v>
      </c>
      <c r="J43" s="10">
        <f t="shared" si="13"/>
        <v>18926.441992918779</v>
      </c>
    </row>
    <row r="44" spans="1:12" x14ac:dyDescent="0.2">
      <c r="A44" s="4">
        <v>28</v>
      </c>
      <c r="C44" s="12">
        <f t="shared" si="0"/>
        <v>0.79750000000000132</v>
      </c>
      <c r="D44" s="13">
        <f t="shared" si="8"/>
        <v>7775.6250000000127</v>
      </c>
      <c r="E44" s="14">
        <f t="shared" si="3"/>
        <v>0.22765651080770288</v>
      </c>
      <c r="F44" s="15">
        <f t="shared" si="9"/>
        <v>1770.1716568491477</v>
      </c>
      <c r="G44" s="15">
        <f t="shared" si="10"/>
        <v>19.439062500000031</v>
      </c>
      <c r="H44" s="10">
        <f t="shared" si="11"/>
        <v>0</v>
      </c>
      <c r="I44" s="10">
        <f>F44+G44+H44</f>
        <v>1789.6107193491478</v>
      </c>
      <c r="J44" s="10">
        <f t="shared" si="13"/>
        <v>20716.052712267927</v>
      </c>
    </row>
    <row r="45" spans="1:12" x14ac:dyDescent="0.2">
      <c r="A45" s="4">
        <v>29</v>
      </c>
      <c r="C45" s="12">
        <f t="shared" si="0"/>
        <v>0.79000000000000137</v>
      </c>
      <c r="D45" s="13">
        <f t="shared" si="8"/>
        <v>7702.5000000000136</v>
      </c>
      <c r="E45" s="14">
        <f t="shared" si="3"/>
        <v>0.23312026706708774</v>
      </c>
      <c r="F45" s="15">
        <f t="shared" si="9"/>
        <v>1795.6088570842464</v>
      </c>
      <c r="G45" s="15">
        <f>D45*$D$8</f>
        <v>19.256250000000033</v>
      </c>
      <c r="H45" s="10">
        <f t="shared" si="11"/>
        <v>0</v>
      </c>
      <c r="I45" s="10">
        <f t="shared" si="12"/>
        <v>1814.8651070842466</v>
      </c>
      <c r="J45" s="10">
        <f>J44+I45</f>
        <v>22530.917819352173</v>
      </c>
    </row>
    <row r="46" spans="1:12" x14ac:dyDescent="0.2">
      <c r="A46" s="4">
        <v>30</v>
      </c>
      <c r="C46" s="12">
        <f t="shared" si="0"/>
        <v>0.78250000000000142</v>
      </c>
      <c r="D46" s="13">
        <f t="shared" si="8"/>
        <v>7629.3750000000136</v>
      </c>
      <c r="E46" s="14">
        <f t="shared" si="3"/>
        <v>0.23871515347669786</v>
      </c>
      <c r="F46" s="15">
        <f t="shared" si="9"/>
        <v>1821.2474240562849</v>
      </c>
      <c r="G46" s="15">
        <f t="shared" si="10"/>
        <v>19.073437500000036</v>
      </c>
      <c r="H46" s="10">
        <f t="shared" si="11"/>
        <v>0</v>
      </c>
      <c r="I46" s="10">
        <f t="shared" si="12"/>
        <v>1840.3208615562849</v>
      </c>
      <c r="J46" s="157">
        <f t="shared" si="13"/>
        <v>24371.238680908456</v>
      </c>
    </row>
  </sheetData>
  <mergeCells count="2">
    <mergeCell ref="A1:C1"/>
    <mergeCell ref="A2:G2"/>
  </mergeCells>
  <phoneticPr fontId="4" type="noConversion"/>
  <printOptions gridLines="1"/>
  <pageMargins left="0.75" right="0.75" top="0.73" bottom="0.69" header="0.5" footer="0.5"/>
  <pageSetup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START HERE</vt:lpstr>
      <vt:lpstr>System sizing</vt:lpstr>
      <vt:lpstr>Comparison of costs per vendor</vt:lpstr>
      <vt:lpstr>Return on investment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 H. Aaboe</dc:creator>
  <cp:lastModifiedBy>Adeline Murthy</cp:lastModifiedBy>
  <cp:lastPrinted>2010-11-17T17:09:17Z</cp:lastPrinted>
  <dcterms:created xsi:type="dcterms:W3CDTF">1996-10-14T23:33:28Z</dcterms:created>
  <dcterms:modified xsi:type="dcterms:W3CDTF">2020-08-26T23:20:24Z</dcterms:modified>
</cp:coreProperties>
</file>